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李嘉翔\项目\02 设计\湖北咸宁浮法一期二期项目\成果\结构复核成果\"/>
    </mc:Choice>
  </mc:AlternateContent>
  <xr:revisionPtr revIDLastSave="0" documentId="13_ncr:1_{6C3D157B-F857-4045-9BBE-863CDC40C058}" xr6:coauthVersionLast="47" xr6:coauthVersionMax="47" xr10:uidLastSave="{00000000-0000-0000-0000-000000000000}"/>
  <bookViews>
    <workbookView xWindow="28680" yWindow="-90" windowWidth="29040" windowHeight="15840" activeTab="4" xr2:uid="{00000000-000D-0000-FFFF-FFFF00000000}"/>
  </bookViews>
  <sheets>
    <sheet name="退火成型工段" sheetId="14" r:id="rId1"/>
    <sheet name="裁切工段" sheetId="18" r:id="rId2"/>
    <sheet name="成品工段" sheetId="19" r:id="rId3"/>
    <sheet name="均化车间" sheetId="21" r:id="rId4"/>
    <sheet name="成品库" sheetId="22" r:id="rId5"/>
    <sheet name="大停车场车棚" sheetId="15" state="hidden" r:id="rId6"/>
    <sheet name="智能加工、钣金自动化示范线厂房(混凝土屋面) " sheetId="16" state="hidden" r:id="rId7"/>
    <sheet name="梯屋面支架" sheetId="17" state="hidden" r:id="rId8"/>
  </sheets>
  <definedNames>
    <definedName name="_xlnm.Print_Area" localSheetId="1">裁切工段!$A$1:$N$50</definedName>
    <definedName name="_xlnm.Print_Area" localSheetId="2">成品工段!$A$1:$N$23</definedName>
    <definedName name="_xlnm.Print_Area" localSheetId="4">成品库!$A$1:$N$50</definedName>
    <definedName name="_xlnm.Print_Area" localSheetId="5">大停车场车棚!$A$1:$L$51</definedName>
    <definedName name="_xlnm.Print_Area" localSheetId="3">均化车间!$A$1:$N$50</definedName>
    <definedName name="_xlnm.Print_Area" localSheetId="7">梯屋面支架!$A$1:$L$67</definedName>
    <definedName name="_xlnm.Print_Area" localSheetId="0">退火成型工段!$A$1:$N$23</definedName>
    <definedName name="_xlnm.Print_Area" localSheetId="6">'智能加工、钣金自动化示范线厂房(混凝土屋面) '!$A$1:$L$104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2" l="1"/>
  <c r="G13" i="21"/>
  <c r="G13" i="19"/>
  <c r="G13" i="14"/>
  <c r="G13" i="18"/>
  <c r="E92" i="22" l="1"/>
  <c r="E91" i="22"/>
  <c r="D91" i="22"/>
  <c r="I90" i="22"/>
  <c r="E90" i="22"/>
  <c r="D90" i="22"/>
  <c r="E89" i="22"/>
  <c r="D89" i="22"/>
  <c r="E88" i="22"/>
  <c r="D88" i="22"/>
  <c r="E87" i="22"/>
  <c r="D87" i="22"/>
  <c r="I86" i="22"/>
  <c r="E86" i="22"/>
  <c r="D86" i="22"/>
  <c r="E85" i="22"/>
  <c r="D85" i="22"/>
  <c r="E84" i="22"/>
  <c r="D84" i="22"/>
  <c r="E83" i="22"/>
  <c r="E93" i="22" s="1"/>
  <c r="D83" i="22"/>
  <c r="D93" i="22" s="1"/>
  <c r="N81" i="22"/>
  <c r="H81" i="22"/>
  <c r="G80" i="22"/>
  <c r="C95" i="22" s="1"/>
  <c r="F80" i="22"/>
  <c r="E80" i="22"/>
  <c r="D80" i="22"/>
  <c r="G79" i="22"/>
  <c r="C94" i="22" s="1"/>
  <c r="F79" i="22"/>
  <c r="E79" i="22"/>
  <c r="D79" i="22"/>
  <c r="G78" i="22"/>
  <c r="M78" i="22" s="1"/>
  <c r="F78" i="22"/>
  <c r="E78" i="22"/>
  <c r="D78" i="22"/>
  <c r="G77" i="22"/>
  <c r="M77" i="22" s="1"/>
  <c r="F77" i="22"/>
  <c r="E77" i="22"/>
  <c r="D77" i="22"/>
  <c r="G76" i="22"/>
  <c r="C91" i="22" s="1"/>
  <c r="F76" i="22"/>
  <c r="E76" i="22"/>
  <c r="D76" i="22"/>
  <c r="G75" i="22"/>
  <c r="C90" i="22" s="1"/>
  <c r="F75" i="22"/>
  <c r="O70" i="22" s="1"/>
  <c r="D75" i="22"/>
  <c r="G74" i="22"/>
  <c r="M74" i="22" s="1"/>
  <c r="E74" i="22"/>
  <c r="D74" i="22"/>
  <c r="F74" i="22" s="1"/>
  <c r="G73" i="22"/>
  <c r="H88" i="22" s="1"/>
  <c r="I88" i="22" s="1"/>
  <c r="F73" i="22"/>
  <c r="E73" i="22"/>
  <c r="D73" i="22"/>
  <c r="G72" i="22"/>
  <c r="H87" i="22" s="1"/>
  <c r="I87" i="22" s="1"/>
  <c r="F72" i="22"/>
  <c r="E72" i="22"/>
  <c r="D72" i="22"/>
  <c r="G71" i="22"/>
  <c r="C86" i="22" s="1"/>
  <c r="F71" i="22"/>
  <c r="E71" i="22"/>
  <c r="D71" i="22"/>
  <c r="R70" i="22"/>
  <c r="G70" i="22"/>
  <c r="F70" i="22"/>
  <c r="E70" i="22"/>
  <c r="O65" i="22" s="1"/>
  <c r="D70" i="22"/>
  <c r="G69" i="22"/>
  <c r="M69" i="22" s="1"/>
  <c r="F69" i="22"/>
  <c r="E69" i="22"/>
  <c r="O64" i="22" s="1"/>
  <c r="D69" i="22"/>
  <c r="M68" i="22"/>
  <c r="P63" i="22" s="1"/>
  <c r="G68" i="22"/>
  <c r="L68" i="22" s="1"/>
  <c r="F68" i="22"/>
  <c r="E68" i="22"/>
  <c r="D68" i="22"/>
  <c r="T50" i="22"/>
  <c r="G40" i="22"/>
  <c r="I40" i="22" s="1"/>
  <c r="M40" i="22" s="1"/>
  <c r="G39" i="22"/>
  <c r="I39" i="22" s="1"/>
  <c r="M39" i="22" s="1"/>
  <c r="G38" i="22"/>
  <c r="I38" i="22" s="1"/>
  <c r="M38" i="22" s="1"/>
  <c r="G37" i="22"/>
  <c r="H37" i="22" s="1"/>
  <c r="I37" i="22" s="1"/>
  <c r="M37" i="22" s="1"/>
  <c r="G36" i="22"/>
  <c r="H36" i="22" s="1"/>
  <c r="I36" i="22" s="1"/>
  <c r="M36" i="22" s="1"/>
  <c r="G31" i="22"/>
  <c r="I31" i="22" s="1"/>
  <c r="M31" i="22" s="1"/>
  <c r="S30" i="22"/>
  <c r="I30" i="22"/>
  <c r="M30" i="22" s="1"/>
  <c r="L29" i="22"/>
  <c r="G26" i="22"/>
  <c r="G27" i="22" s="1"/>
  <c r="I25" i="22"/>
  <c r="M25" i="22" s="1"/>
  <c r="G25" i="22"/>
  <c r="G24" i="22"/>
  <c r="I24" i="22" s="1"/>
  <c r="M24" i="22" s="1"/>
  <c r="G23" i="22"/>
  <c r="I23" i="22" s="1"/>
  <c r="M23" i="22" s="1"/>
  <c r="G22" i="22"/>
  <c r="I22" i="22" s="1"/>
  <c r="M22" i="22" s="1"/>
  <c r="G21" i="22"/>
  <c r="I21" i="22" s="1"/>
  <c r="M21" i="22" s="1"/>
  <c r="G20" i="22"/>
  <c r="G18" i="22"/>
  <c r="I18" i="22" s="1"/>
  <c r="M18" i="22" s="1"/>
  <c r="I17" i="22"/>
  <c r="M17" i="22" s="1"/>
  <c r="I16" i="22"/>
  <c r="M16" i="22" s="1"/>
  <c r="M13" i="22"/>
  <c r="L12" i="22"/>
  <c r="L11" i="22"/>
  <c r="L10" i="22"/>
  <c r="L9" i="22"/>
  <c r="G6" i="22"/>
  <c r="G7" i="22" s="1"/>
  <c r="E92" i="21"/>
  <c r="E91" i="21"/>
  <c r="D91" i="21"/>
  <c r="I90" i="21"/>
  <c r="E90" i="21"/>
  <c r="D90" i="21"/>
  <c r="E89" i="21"/>
  <c r="D89" i="21"/>
  <c r="E88" i="21"/>
  <c r="D88" i="21"/>
  <c r="E87" i="21"/>
  <c r="D87" i="21"/>
  <c r="I86" i="21"/>
  <c r="E86" i="21"/>
  <c r="D86" i="21"/>
  <c r="E85" i="21"/>
  <c r="D85" i="21"/>
  <c r="E84" i="21"/>
  <c r="D84" i="21"/>
  <c r="E83" i="21"/>
  <c r="E93" i="21" s="1"/>
  <c r="D83" i="21"/>
  <c r="D93" i="21" s="1"/>
  <c r="N81" i="21"/>
  <c r="H81" i="21"/>
  <c r="G80" i="21"/>
  <c r="C95" i="21" s="1"/>
  <c r="F80" i="21"/>
  <c r="E80" i="21"/>
  <c r="D80" i="21"/>
  <c r="G79" i="21"/>
  <c r="C94" i="21" s="1"/>
  <c r="F79" i="21"/>
  <c r="E79" i="21"/>
  <c r="D79" i="21"/>
  <c r="G78" i="21"/>
  <c r="M78" i="21" s="1"/>
  <c r="F78" i="21"/>
  <c r="E78" i="21"/>
  <c r="D78" i="21"/>
  <c r="G77" i="21"/>
  <c r="M77" i="21" s="1"/>
  <c r="F77" i="21"/>
  <c r="E77" i="21"/>
  <c r="D77" i="21"/>
  <c r="G76" i="21"/>
  <c r="C91" i="21" s="1"/>
  <c r="F76" i="21"/>
  <c r="E76" i="21"/>
  <c r="D76" i="21"/>
  <c r="G75" i="21"/>
  <c r="C90" i="21" s="1"/>
  <c r="F75" i="21"/>
  <c r="O70" i="21" s="1"/>
  <c r="D75" i="21"/>
  <c r="G74" i="21"/>
  <c r="M74" i="21" s="1"/>
  <c r="E74" i="21"/>
  <c r="D74" i="21"/>
  <c r="F74" i="21" s="1"/>
  <c r="G73" i="21"/>
  <c r="H88" i="21" s="1"/>
  <c r="I88" i="21" s="1"/>
  <c r="F73" i="21"/>
  <c r="O68" i="21" s="1"/>
  <c r="E73" i="21"/>
  <c r="D73" i="21"/>
  <c r="G72" i="21"/>
  <c r="H87" i="21" s="1"/>
  <c r="I87" i="21" s="1"/>
  <c r="F72" i="21"/>
  <c r="E72" i="21"/>
  <c r="D72" i="21"/>
  <c r="G71" i="21"/>
  <c r="C86" i="21" s="1"/>
  <c r="F71" i="21"/>
  <c r="E71" i="21"/>
  <c r="D71" i="21"/>
  <c r="R70" i="21"/>
  <c r="G70" i="21"/>
  <c r="H85" i="21" s="1"/>
  <c r="I85" i="21" s="1"/>
  <c r="F70" i="21"/>
  <c r="E70" i="21"/>
  <c r="D70" i="21"/>
  <c r="G69" i="21"/>
  <c r="M69" i="21" s="1"/>
  <c r="F69" i="21"/>
  <c r="E69" i="21"/>
  <c r="D69" i="21"/>
  <c r="G68" i="21"/>
  <c r="M68" i="21" s="1"/>
  <c r="F68" i="21"/>
  <c r="E68" i="21"/>
  <c r="D68" i="21"/>
  <c r="T50" i="21"/>
  <c r="G40" i="21"/>
  <c r="I40" i="21" s="1"/>
  <c r="M40" i="21" s="1"/>
  <c r="G39" i="21"/>
  <c r="I39" i="21" s="1"/>
  <c r="M39" i="21" s="1"/>
  <c r="G38" i="21"/>
  <c r="I38" i="21" s="1"/>
  <c r="M38" i="21" s="1"/>
  <c r="G37" i="21"/>
  <c r="H37" i="21" s="1"/>
  <c r="I37" i="21" s="1"/>
  <c r="M37" i="21" s="1"/>
  <c r="O36" i="21"/>
  <c r="G36" i="21"/>
  <c r="H36" i="21" s="1"/>
  <c r="I36" i="21" s="1"/>
  <c r="M36" i="21" s="1"/>
  <c r="G31" i="21"/>
  <c r="I31" i="21" s="1"/>
  <c r="M31" i="21" s="1"/>
  <c r="S30" i="21"/>
  <c r="I30" i="21"/>
  <c r="M30" i="21" s="1"/>
  <c r="L29" i="21"/>
  <c r="G28" i="21"/>
  <c r="I28" i="21" s="1"/>
  <c r="M28" i="21" s="1"/>
  <c r="G26" i="21"/>
  <c r="G27" i="21" s="1"/>
  <c r="I25" i="21"/>
  <c r="M25" i="21" s="1"/>
  <c r="G25" i="21"/>
  <c r="G24" i="21"/>
  <c r="I24" i="21" s="1"/>
  <c r="M24" i="21" s="1"/>
  <c r="G23" i="21"/>
  <c r="I23" i="21" s="1"/>
  <c r="M23" i="21" s="1"/>
  <c r="G22" i="21"/>
  <c r="I22" i="21" s="1"/>
  <c r="M22" i="21" s="1"/>
  <c r="G21" i="21"/>
  <c r="I21" i="21" s="1"/>
  <c r="M21" i="21" s="1"/>
  <c r="G20" i="21"/>
  <c r="G19" i="21" s="1"/>
  <c r="I19" i="21" s="1"/>
  <c r="M19" i="21" s="1"/>
  <c r="G18" i="21"/>
  <c r="I18" i="21" s="1"/>
  <c r="M18" i="21" s="1"/>
  <c r="I17" i="21"/>
  <c r="M17" i="21" s="1"/>
  <c r="I16" i="21"/>
  <c r="M16" i="21" s="1"/>
  <c r="M13" i="21"/>
  <c r="L12" i="21"/>
  <c r="L11" i="21"/>
  <c r="L10" i="21"/>
  <c r="L9" i="21"/>
  <c r="G6" i="21"/>
  <c r="G7" i="21" s="1"/>
  <c r="E65" i="19"/>
  <c r="E64" i="19"/>
  <c r="D64" i="19"/>
  <c r="I63" i="19"/>
  <c r="E63" i="19"/>
  <c r="D63" i="19"/>
  <c r="E62" i="19"/>
  <c r="D62" i="19"/>
  <c r="E61" i="19"/>
  <c r="D61" i="19"/>
  <c r="E60" i="19"/>
  <c r="D60" i="19"/>
  <c r="I59" i="19"/>
  <c r="E59" i="19"/>
  <c r="D59" i="19"/>
  <c r="E58" i="19"/>
  <c r="D58" i="19"/>
  <c r="E57" i="19"/>
  <c r="D57" i="19"/>
  <c r="E56" i="19"/>
  <c r="E66" i="19" s="1"/>
  <c r="D56" i="19"/>
  <c r="D66" i="19" s="1"/>
  <c r="N54" i="19"/>
  <c r="H54" i="19"/>
  <c r="G53" i="19"/>
  <c r="C68" i="19" s="1"/>
  <c r="F53" i="19"/>
  <c r="O48" i="19" s="1"/>
  <c r="E53" i="19"/>
  <c r="D53" i="19"/>
  <c r="G52" i="19"/>
  <c r="C67" i="19" s="1"/>
  <c r="F52" i="19"/>
  <c r="E52" i="19"/>
  <c r="D52" i="19"/>
  <c r="G51" i="19"/>
  <c r="M51" i="19" s="1"/>
  <c r="F51" i="19"/>
  <c r="E51" i="19"/>
  <c r="D51" i="19"/>
  <c r="G50" i="19"/>
  <c r="M50" i="19" s="1"/>
  <c r="F50" i="19"/>
  <c r="O45" i="19" s="1"/>
  <c r="E50" i="19"/>
  <c r="D50" i="19"/>
  <c r="G49" i="19"/>
  <c r="C64" i="19" s="1"/>
  <c r="F49" i="19"/>
  <c r="E49" i="19"/>
  <c r="D49" i="19"/>
  <c r="G48" i="19"/>
  <c r="C63" i="19" s="1"/>
  <c r="F48" i="19"/>
  <c r="O43" i="19" s="1"/>
  <c r="D48" i="19"/>
  <c r="G47" i="19"/>
  <c r="M47" i="19" s="1"/>
  <c r="E47" i="19"/>
  <c r="D47" i="19"/>
  <c r="F47" i="19" s="1"/>
  <c r="G46" i="19"/>
  <c r="H61" i="19" s="1"/>
  <c r="I61" i="19" s="1"/>
  <c r="F46" i="19"/>
  <c r="E46" i="19"/>
  <c r="O41" i="19" s="1"/>
  <c r="D46" i="19"/>
  <c r="G45" i="19"/>
  <c r="H60" i="19" s="1"/>
  <c r="I60" i="19" s="1"/>
  <c r="F45" i="19"/>
  <c r="E45" i="19"/>
  <c r="D45" i="19"/>
  <c r="G44" i="19"/>
  <c r="C59" i="19" s="1"/>
  <c r="F44" i="19"/>
  <c r="E44" i="19"/>
  <c r="O39" i="19" s="1"/>
  <c r="D44" i="19"/>
  <c r="R43" i="19"/>
  <c r="G43" i="19"/>
  <c r="F43" i="19"/>
  <c r="E43" i="19"/>
  <c r="D43" i="19"/>
  <c r="G42" i="19"/>
  <c r="M42" i="19" s="1"/>
  <c r="F42" i="19"/>
  <c r="E42" i="19"/>
  <c r="O37" i="19" s="1"/>
  <c r="D42" i="19"/>
  <c r="G41" i="19"/>
  <c r="M41" i="19" s="1"/>
  <c r="F41" i="19"/>
  <c r="E41" i="19"/>
  <c r="D41" i="19"/>
  <c r="T23" i="19"/>
  <c r="M13" i="19"/>
  <c r="L12" i="19"/>
  <c r="L11" i="19"/>
  <c r="L10" i="19"/>
  <c r="L9" i="19"/>
  <c r="G6" i="19"/>
  <c r="G7" i="19" s="1"/>
  <c r="E92" i="18"/>
  <c r="E91" i="18"/>
  <c r="D91" i="18"/>
  <c r="I90" i="18"/>
  <c r="E90" i="18"/>
  <c r="D90" i="18"/>
  <c r="E89" i="18"/>
  <c r="D89" i="18"/>
  <c r="E88" i="18"/>
  <c r="D88" i="18"/>
  <c r="E87" i="18"/>
  <c r="D87" i="18"/>
  <c r="I86" i="18"/>
  <c r="E86" i="18"/>
  <c r="D86" i="18"/>
  <c r="E85" i="18"/>
  <c r="D85" i="18"/>
  <c r="E84" i="18"/>
  <c r="D84" i="18"/>
  <c r="E83" i="18"/>
  <c r="E93" i="18" s="1"/>
  <c r="D83" i="18"/>
  <c r="D93" i="18" s="1"/>
  <c r="N81" i="18"/>
  <c r="H81" i="18"/>
  <c r="G80" i="18"/>
  <c r="C95" i="18" s="1"/>
  <c r="F80" i="18"/>
  <c r="E80" i="18"/>
  <c r="O75" i="18" s="1"/>
  <c r="D80" i="18"/>
  <c r="G79" i="18"/>
  <c r="C94" i="18" s="1"/>
  <c r="F79" i="18"/>
  <c r="E79" i="18"/>
  <c r="D79" i="18"/>
  <c r="G78" i="18"/>
  <c r="M78" i="18" s="1"/>
  <c r="F78" i="18"/>
  <c r="E78" i="18"/>
  <c r="D78" i="18"/>
  <c r="G77" i="18"/>
  <c r="M77" i="18" s="1"/>
  <c r="F77" i="18"/>
  <c r="E77" i="18"/>
  <c r="D77" i="18"/>
  <c r="G76" i="18"/>
  <c r="C91" i="18" s="1"/>
  <c r="F76" i="18"/>
  <c r="E76" i="18"/>
  <c r="O71" i="18" s="1"/>
  <c r="D76" i="18"/>
  <c r="G75" i="18"/>
  <c r="C90" i="18" s="1"/>
  <c r="F75" i="18"/>
  <c r="O70" i="18" s="1"/>
  <c r="D75" i="18"/>
  <c r="G74" i="18"/>
  <c r="L74" i="18" s="1"/>
  <c r="R69" i="18" s="1"/>
  <c r="F74" i="18"/>
  <c r="E74" i="18"/>
  <c r="D74" i="18"/>
  <c r="O73" i="18"/>
  <c r="M73" i="18"/>
  <c r="Q68" i="18" s="1"/>
  <c r="G73" i="18"/>
  <c r="H88" i="18" s="1"/>
  <c r="I88" i="18" s="1"/>
  <c r="F73" i="18"/>
  <c r="E73" i="18"/>
  <c r="D73" i="18"/>
  <c r="G72" i="18"/>
  <c r="H87" i="18" s="1"/>
  <c r="I87" i="18" s="1"/>
  <c r="F72" i="18"/>
  <c r="E72" i="18"/>
  <c r="D72" i="18"/>
  <c r="G71" i="18"/>
  <c r="C86" i="18" s="1"/>
  <c r="F71" i="18"/>
  <c r="E71" i="18"/>
  <c r="D71" i="18"/>
  <c r="R70" i="18"/>
  <c r="M70" i="18"/>
  <c r="Q65" i="18" s="1"/>
  <c r="G70" i="18"/>
  <c r="H85" i="18" s="1"/>
  <c r="I85" i="18" s="1"/>
  <c r="F70" i="18"/>
  <c r="E70" i="18"/>
  <c r="O65" i="18" s="1"/>
  <c r="D70" i="18"/>
  <c r="G69" i="18"/>
  <c r="M69" i="18" s="1"/>
  <c r="F69" i="18"/>
  <c r="E69" i="18"/>
  <c r="D69" i="18"/>
  <c r="P68" i="18"/>
  <c r="G68" i="18"/>
  <c r="L68" i="18" s="1"/>
  <c r="F68" i="18"/>
  <c r="E68" i="18"/>
  <c r="D68" i="18"/>
  <c r="O64" i="18"/>
  <c r="T50" i="18"/>
  <c r="G40" i="18"/>
  <c r="I40" i="18" s="1"/>
  <c r="M40" i="18" s="1"/>
  <c r="G39" i="18"/>
  <c r="I39" i="18" s="1"/>
  <c r="M39" i="18" s="1"/>
  <c r="G38" i="18"/>
  <c r="I38" i="18" s="1"/>
  <c r="M38" i="18" s="1"/>
  <c r="G37" i="18"/>
  <c r="H37" i="18" s="1"/>
  <c r="I37" i="18" s="1"/>
  <c r="M37" i="18" s="1"/>
  <c r="O36" i="18"/>
  <c r="G36" i="18"/>
  <c r="H36" i="18" s="1"/>
  <c r="I36" i="18" s="1"/>
  <c r="M36" i="18" s="1"/>
  <c r="I31" i="18"/>
  <c r="M31" i="18" s="1"/>
  <c r="G31" i="18"/>
  <c r="S30" i="18"/>
  <c r="I30" i="18"/>
  <c r="M30" i="18" s="1"/>
  <c r="L29" i="18"/>
  <c r="G28" i="18"/>
  <c r="I28" i="18" s="1"/>
  <c r="M28" i="18" s="1"/>
  <c r="G26" i="18"/>
  <c r="I26" i="18" s="1"/>
  <c r="M26" i="18" s="1"/>
  <c r="G25" i="18"/>
  <c r="I25" i="18" s="1"/>
  <c r="M25" i="18" s="1"/>
  <c r="G24" i="18"/>
  <c r="I24" i="18" s="1"/>
  <c r="M24" i="18" s="1"/>
  <c r="G23" i="18"/>
  <c r="I23" i="18" s="1"/>
  <c r="M23" i="18" s="1"/>
  <c r="G22" i="18"/>
  <c r="I22" i="18" s="1"/>
  <c r="M22" i="18" s="1"/>
  <c r="G21" i="18"/>
  <c r="I21" i="18" s="1"/>
  <c r="M21" i="18" s="1"/>
  <c r="G18" i="18"/>
  <c r="I18" i="18" s="1"/>
  <c r="M18" i="18" s="1"/>
  <c r="I17" i="18"/>
  <c r="M17" i="18" s="1"/>
  <c r="I16" i="18"/>
  <c r="M16" i="18" s="1"/>
  <c r="M13" i="18"/>
  <c r="L12" i="18"/>
  <c r="L11" i="18"/>
  <c r="L10" i="18"/>
  <c r="L9" i="18"/>
  <c r="G6" i="18"/>
  <c r="G7" i="18" s="1"/>
  <c r="L73" i="21" l="1"/>
  <c r="R68" i="21" s="1"/>
  <c r="C89" i="21"/>
  <c r="D81" i="21"/>
  <c r="O64" i="21"/>
  <c r="O66" i="21"/>
  <c r="M73" i="21"/>
  <c r="O71" i="21"/>
  <c r="O73" i="21"/>
  <c r="O74" i="21"/>
  <c r="O75" i="21"/>
  <c r="C88" i="21"/>
  <c r="O38" i="19"/>
  <c r="F81" i="18"/>
  <c r="H89" i="18"/>
  <c r="I89" i="18" s="1"/>
  <c r="P65" i="18"/>
  <c r="L73" i="18"/>
  <c r="R68" i="18" s="1"/>
  <c r="O66" i="18"/>
  <c r="O68" i="18"/>
  <c r="M75" i="22"/>
  <c r="Q70" i="22" s="1"/>
  <c r="M73" i="22"/>
  <c r="Q68" i="22" s="1"/>
  <c r="Q63" i="22"/>
  <c r="O66" i="22"/>
  <c r="O68" i="22"/>
  <c r="O71" i="22"/>
  <c r="O73" i="22"/>
  <c r="O75" i="22"/>
  <c r="D81" i="22"/>
  <c r="G19" i="22"/>
  <c r="I19" i="22" s="1"/>
  <c r="M19" i="22" s="1"/>
  <c r="G32" i="22"/>
  <c r="L69" i="18"/>
  <c r="R64" i="18" s="1"/>
  <c r="C89" i="18"/>
  <c r="E81" i="21"/>
  <c r="G28" i="22"/>
  <c r="I28" i="22" s="1"/>
  <c r="M28" i="22" s="1"/>
  <c r="L76" i="22"/>
  <c r="R71" i="22" s="1"/>
  <c r="D81" i="18"/>
  <c r="M68" i="18"/>
  <c r="M74" i="18"/>
  <c r="M75" i="18"/>
  <c r="Q70" i="18" s="1"/>
  <c r="O72" i="18"/>
  <c r="O74" i="18"/>
  <c r="D54" i="19"/>
  <c r="H58" i="19"/>
  <c r="I58" i="19" s="1"/>
  <c r="C57" i="19"/>
  <c r="M70" i="21"/>
  <c r="M81" i="21" s="1"/>
  <c r="M75" i="21"/>
  <c r="Q70" i="21" s="1"/>
  <c r="P68" i="22"/>
  <c r="H85" i="22"/>
  <c r="I85" i="22" s="1"/>
  <c r="M71" i="22"/>
  <c r="M76" i="22"/>
  <c r="Q71" i="22" s="1"/>
  <c r="O67" i="18"/>
  <c r="C84" i="18"/>
  <c r="O72" i="21"/>
  <c r="E81" i="22"/>
  <c r="L71" i="22"/>
  <c r="R66" i="22" s="1"/>
  <c r="O72" i="22"/>
  <c r="O74" i="22"/>
  <c r="G20" i="18"/>
  <c r="E81" i="18"/>
  <c r="O69" i="18"/>
  <c r="O44" i="19"/>
  <c r="O46" i="19"/>
  <c r="O65" i="21"/>
  <c r="C84" i="21"/>
  <c r="H89" i="21"/>
  <c r="I89" i="21" s="1"/>
  <c r="P70" i="22"/>
  <c r="L73" i="22"/>
  <c r="R68" i="22" s="1"/>
  <c r="C84" i="22"/>
  <c r="C89" i="22"/>
  <c r="G8" i="18"/>
  <c r="M8" i="18" s="1"/>
  <c r="G9" i="18"/>
  <c r="G10" i="18" s="1"/>
  <c r="H10" i="18" s="1"/>
  <c r="I10" i="18" s="1"/>
  <c r="I13" i="22"/>
  <c r="I6" i="22"/>
  <c r="G8" i="22"/>
  <c r="I8" i="22" s="1"/>
  <c r="G8" i="21"/>
  <c r="M8" i="21" s="1"/>
  <c r="I13" i="21"/>
  <c r="G8" i="19"/>
  <c r="M8" i="19" s="1"/>
  <c r="I13" i="19"/>
  <c r="M9" i="18"/>
  <c r="G11" i="18"/>
  <c r="M11" i="18" s="1"/>
  <c r="I13" i="18"/>
  <c r="I6" i="18"/>
  <c r="M6" i="18"/>
  <c r="L43" i="19"/>
  <c r="R38" i="19" s="1"/>
  <c r="M48" i="19"/>
  <c r="E54" i="19"/>
  <c r="C62" i="19"/>
  <c r="L46" i="19"/>
  <c r="R41" i="19" s="1"/>
  <c r="M46" i="19"/>
  <c r="O47" i="19"/>
  <c r="M43" i="19"/>
  <c r="M7" i="22"/>
  <c r="I7" i="22"/>
  <c r="Q64" i="22"/>
  <c r="P64" i="22"/>
  <c r="Q73" i="22"/>
  <c r="P73" i="22"/>
  <c r="O69" i="22"/>
  <c r="P69" i="22"/>
  <c r="Q69" i="22"/>
  <c r="F81" i="22"/>
  <c r="I27" i="22"/>
  <c r="M27" i="22" s="1"/>
  <c r="G29" i="22"/>
  <c r="I29" i="22" s="1"/>
  <c r="M29" i="22" s="1"/>
  <c r="Q72" i="22"/>
  <c r="P72" i="22"/>
  <c r="R63" i="22"/>
  <c r="I20" i="22"/>
  <c r="M20" i="22" s="1"/>
  <c r="O67" i="22"/>
  <c r="L72" i="22"/>
  <c r="R67" i="22" s="1"/>
  <c r="L77" i="22"/>
  <c r="R72" i="22" s="1"/>
  <c r="L79" i="22"/>
  <c r="R74" i="22" s="1"/>
  <c r="C87" i="22"/>
  <c r="C92" i="22"/>
  <c r="G81" i="22"/>
  <c r="G9" i="22"/>
  <c r="M72" i="22"/>
  <c r="M79" i="22"/>
  <c r="H84" i="22"/>
  <c r="I84" i="22" s="1"/>
  <c r="H89" i="22"/>
  <c r="I89" i="22" s="1"/>
  <c r="C85" i="22"/>
  <c r="C93" i="22"/>
  <c r="G12" i="22"/>
  <c r="L70" i="22"/>
  <c r="R65" i="22" s="1"/>
  <c r="C83" i="22"/>
  <c r="M70" i="22"/>
  <c r="C88" i="22"/>
  <c r="M6" i="22"/>
  <c r="I26" i="22"/>
  <c r="M26" i="22" s="1"/>
  <c r="L69" i="22"/>
  <c r="R64" i="22" s="1"/>
  <c r="L78" i="22"/>
  <c r="R73" i="22" s="1"/>
  <c r="L80" i="22"/>
  <c r="R75" i="22" s="1"/>
  <c r="M80" i="22"/>
  <c r="H83" i="22"/>
  <c r="I83" i="22" s="1"/>
  <c r="O63" i="22"/>
  <c r="L74" i="22"/>
  <c r="R69" i="22" s="1"/>
  <c r="P63" i="21"/>
  <c r="Q63" i="21"/>
  <c r="M7" i="21"/>
  <c r="I7" i="21"/>
  <c r="I27" i="21"/>
  <c r="M27" i="21" s="1"/>
  <c r="G29" i="21"/>
  <c r="I29" i="21" s="1"/>
  <c r="M29" i="21" s="1"/>
  <c r="O69" i="21"/>
  <c r="Q64" i="21"/>
  <c r="P64" i="21"/>
  <c r="P69" i="21"/>
  <c r="Q69" i="21"/>
  <c r="F81" i="21"/>
  <c r="Q72" i="21"/>
  <c r="P72" i="21"/>
  <c r="Q73" i="21"/>
  <c r="P73" i="21"/>
  <c r="I8" i="21"/>
  <c r="G81" i="21"/>
  <c r="I20" i="21"/>
  <c r="M20" i="21" s="1"/>
  <c r="G32" i="21"/>
  <c r="O67" i="21"/>
  <c r="L72" i="21"/>
  <c r="R67" i="21" s="1"/>
  <c r="L77" i="21"/>
  <c r="R72" i="21" s="1"/>
  <c r="L79" i="21"/>
  <c r="R74" i="21" s="1"/>
  <c r="C87" i="21"/>
  <c r="C92" i="21"/>
  <c r="G9" i="21"/>
  <c r="M72" i="21"/>
  <c r="M79" i="21"/>
  <c r="H84" i="21"/>
  <c r="I84" i="21" s="1"/>
  <c r="L71" i="21"/>
  <c r="R66" i="21" s="1"/>
  <c r="L76" i="21"/>
  <c r="R71" i="21" s="1"/>
  <c r="M71" i="21"/>
  <c r="M76" i="21"/>
  <c r="C85" i="21"/>
  <c r="C93" i="21"/>
  <c r="G12" i="21"/>
  <c r="L70" i="21"/>
  <c r="R65" i="21" s="1"/>
  <c r="C83" i="21"/>
  <c r="I6" i="21"/>
  <c r="M6" i="21"/>
  <c r="I26" i="21"/>
  <c r="M26" i="21" s="1"/>
  <c r="L69" i="21"/>
  <c r="R64" i="21" s="1"/>
  <c r="L78" i="21"/>
  <c r="R73" i="21" s="1"/>
  <c r="L80" i="21"/>
  <c r="R75" i="21" s="1"/>
  <c r="P70" i="21"/>
  <c r="M80" i="21"/>
  <c r="H83" i="21"/>
  <c r="I83" i="21" s="1"/>
  <c r="O63" i="21"/>
  <c r="L68" i="21"/>
  <c r="L74" i="21"/>
  <c r="R69" i="21" s="1"/>
  <c r="Q37" i="19"/>
  <c r="P37" i="19"/>
  <c r="O42" i="19"/>
  <c r="P36" i="19"/>
  <c r="Q36" i="19"/>
  <c r="M7" i="19"/>
  <c r="I7" i="19"/>
  <c r="F54" i="19"/>
  <c r="Q45" i="19"/>
  <c r="P45" i="19"/>
  <c r="Q46" i="19"/>
  <c r="P46" i="19"/>
  <c r="P42" i="19"/>
  <c r="Q42" i="19"/>
  <c r="G54" i="19"/>
  <c r="O40" i="19"/>
  <c r="L45" i="19"/>
  <c r="R40" i="19" s="1"/>
  <c r="L50" i="19"/>
  <c r="R45" i="19" s="1"/>
  <c r="L52" i="19"/>
  <c r="R47" i="19" s="1"/>
  <c r="C60" i="19"/>
  <c r="C65" i="19"/>
  <c r="G9" i="19"/>
  <c r="M45" i="19"/>
  <c r="M52" i="19"/>
  <c r="H57" i="19"/>
  <c r="I57" i="19" s="1"/>
  <c r="H62" i="19"/>
  <c r="I62" i="19" s="1"/>
  <c r="L44" i="19"/>
  <c r="R39" i="19" s="1"/>
  <c r="L49" i="19"/>
  <c r="R44" i="19" s="1"/>
  <c r="M44" i="19"/>
  <c r="M49" i="19"/>
  <c r="C58" i="19"/>
  <c r="C66" i="19"/>
  <c r="G12" i="19"/>
  <c r="C56" i="19"/>
  <c r="I6" i="19"/>
  <c r="C61" i="19"/>
  <c r="M6" i="19"/>
  <c r="L42" i="19"/>
  <c r="R37" i="19" s="1"/>
  <c r="L51" i="19"/>
  <c r="R46" i="19" s="1"/>
  <c r="L53" i="19"/>
  <c r="R48" i="19" s="1"/>
  <c r="M53" i="19"/>
  <c r="H56" i="19"/>
  <c r="I56" i="19" s="1"/>
  <c r="O36" i="19"/>
  <c r="L41" i="19"/>
  <c r="L47" i="19"/>
  <c r="R42" i="19" s="1"/>
  <c r="Q73" i="18"/>
  <c r="P73" i="18"/>
  <c r="R63" i="18"/>
  <c r="M81" i="18"/>
  <c r="M7" i="18"/>
  <c r="I7" i="18"/>
  <c r="Q72" i="18"/>
  <c r="P72" i="18"/>
  <c r="Q64" i="18"/>
  <c r="P64" i="18"/>
  <c r="I8" i="18"/>
  <c r="G81" i="18"/>
  <c r="L72" i="18"/>
  <c r="R67" i="18" s="1"/>
  <c r="L77" i="18"/>
  <c r="R72" i="18" s="1"/>
  <c r="L79" i="18"/>
  <c r="R74" i="18" s="1"/>
  <c r="C87" i="18"/>
  <c r="C92" i="18"/>
  <c r="M72" i="18"/>
  <c r="M79" i="18"/>
  <c r="H84" i="18"/>
  <c r="I84" i="18" s="1"/>
  <c r="L71" i="18"/>
  <c r="R66" i="18" s="1"/>
  <c r="L76" i="18"/>
  <c r="R71" i="18" s="1"/>
  <c r="I20" i="18"/>
  <c r="M20" i="18" s="1"/>
  <c r="M71" i="18"/>
  <c r="M76" i="18"/>
  <c r="C85" i="18"/>
  <c r="C93" i="18"/>
  <c r="G12" i="18"/>
  <c r="L70" i="18"/>
  <c r="R65" i="18" s="1"/>
  <c r="C83" i="18"/>
  <c r="C88" i="18"/>
  <c r="L78" i="18"/>
  <c r="R73" i="18" s="1"/>
  <c r="L80" i="18"/>
  <c r="R75" i="18" s="1"/>
  <c r="P70" i="18"/>
  <c r="M80" i="18"/>
  <c r="H83" i="18"/>
  <c r="I83" i="18" s="1"/>
  <c r="G27" i="18"/>
  <c r="O63" i="18"/>
  <c r="M8" i="22" l="1"/>
  <c r="Q68" i="21"/>
  <c r="P68" i="21"/>
  <c r="P71" i="22"/>
  <c r="C98" i="18"/>
  <c r="M10" i="18"/>
  <c r="G19" i="18"/>
  <c r="I19" i="18" s="1"/>
  <c r="M19" i="18" s="1"/>
  <c r="G32" i="18"/>
  <c r="I32" i="18" s="1"/>
  <c r="M32" i="18" s="1"/>
  <c r="Q69" i="18"/>
  <c r="P69" i="18"/>
  <c r="O76" i="18"/>
  <c r="H9" i="18"/>
  <c r="I9" i="18" s="1"/>
  <c r="C98" i="21"/>
  <c r="L90" i="21" s="1"/>
  <c r="P66" i="22"/>
  <c r="Q66" i="22"/>
  <c r="Q65" i="21"/>
  <c r="P65" i="21"/>
  <c r="P63" i="18"/>
  <c r="Q63" i="18"/>
  <c r="I8" i="19"/>
  <c r="H11" i="18"/>
  <c r="I11" i="18" s="1"/>
  <c r="Q38" i="19"/>
  <c r="P38" i="19"/>
  <c r="Q41" i="19"/>
  <c r="P41" i="19"/>
  <c r="M54" i="19"/>
  <c r="Q43" i="19"/>
  <c r="P43" i="19"/>
  <c r="G35" i="22"/>
  <c r="I35" i="22" s="1"/>
  <c r="M35" i="22" s="1"/>
  <c r="G34" i="22"/>
  <c r="I34" i="22" s="1"/>
  <c r="M34" i="22" s="1"/>
  <c r="G33" i="22"/>
  <c r="I33" i="22" s="1"/>
  <c r="M33" i="22" s="1"/>
  <c r="I32" i="22"/>
  <c r="M32" i="22" s="1"/>
  <c r="M41" i="22" s="1"/>
  <c r="Q67" i="22"/>
  <c r="P67" i="22"/>
  <c r="R76" i="22"/>
  <c r="P74" i="22"/>
  <c r="Q74" i="22"/>
  <c r="G11" i="22"/>
  <c r="G10" i="22"/>
  <c r="M9" i="22"/>
  <c r="H9" i="22"/>
  <c r="I9" i="22" s="1"/>
  <c r="L81" i="22"/>
  <c r="L83" i="22" s="1"/>
  <c r="Q65" i="22"/>
  <c r="P65" i="22"/>
  <c r="M81" i="22"/>
  <c r="C98" i="22"/>
  <c r="O76" i="22"/>
  <c r="M12" i="22"/>
  <c r="H12" i="22"/>
  <c r="I12" i="22" s="1"/>
  <c r="I92" i="22"/>
  <c r="Q75" i="22"/>
  <c r="P75" i="22"/>
  <c r="G35" i="21"/>
  <c r="I35" i="21" s="1"/>
  <c r="M35" i="21" s="1"/>
  <c r="G34" i="21"/>
  <c r="I34" i="21" s="1"/>
  <c r="M34" i="21" s="1"/>
  <c r="G33" i="21"/>
  <c r="I33" i="21" s="1"/>
  <c r="M33" i="21" s="1"/>
  <c r="I32" i="21"/>
  <c r="M32" i="21" s="1"/>
  <c r="M41" i="21" s="1"/>
  <c r="Q74" i="21"/>
  <c r="P74" i="21"/>
  <c r="Q67" i="21"/>
  <c r="P67" i="21"/>
  <c r="F94" i="21"/>
  <c r="G10" i="21"/>
  <c r="M9" i="21"/>
  <c r="H9" i="21"/>
  <c r="I9" i="21" s="1"/>
  <c r="G11" i="21"/>
  <c r="Q71" i="21"/>
  <c r="P71" i="21"/>
  <c r="L81" i="21"/>
  <c r="L83" i="21" s="1"/>
  <c r="R63" i="21"/>
  <c r="R76" i="21" s="1"/>
  <c r="O76" i="21"/>
  <c r="M12" i="21"/>
  <c r="H12" i="21"/>
  <c r="I12" i="21" s="1"/>
  <c r="I92" i="21"/>
  <c r="P66" i="21"/>
  <c r="Q66" i="21"/>
  <c r="Q75" i="21"/>
  <c r="P75" i="21"/>
  <c r="Q47" i="19"/>
  <c r="P47" i="19"/>
  <c r="Q40" i="19"/>
  <c r="P40" i="19"/>
  <c r="C71" i="19"/>
  <c r="G10" i="19"/>
  <c r="M9" i="19"/>
  <c r="H9" i="19"/>
  <c r="I9" i="19" s="1"/>
  <c r="G11" i="19"/>
  <c r="O49" i="19"/>
  <c r="L54" i="19"/>
  <c r="L56" i="19" s="1"/>
  <c r="R36" i="19"/>
  <c r="R49" i="19" s="1"/>
  <c r="I65" i="19"/>
  <c r="Q48" i="19"/>
  <c r="P48" i="19"/>
  <c r="Q44" i="19"/>
  <c r="P44" i="19"/>
  <c r="M12" i="19"/>
  <c r="H12" i="19"/>
  <c r="I12" i="19" s="1"/>
  <c r="P39" i="19"/>
  <c r="Q39" i="19"/>
  <c r="Q75" i="18"/>
  <c r="P75" i="18"/>
  <c r="F94" i="18"/>
  <c r="L90" i="18"/>
  <c r="Q74" i="18"/>
  <c r="P74" i="18"/>
  <c r="Q67" i="18"/>
  <c r="P67" i="18"/>
  <c r="R76" i="18"/>
  <c r="L81" i="18"/>
  <c r="L83" i="18" s="1"/>
  <c r="G33" i="18"/>
  <c r="I33" i="18" s="1"/>
  <c r="M33" i="18" s="1"/>
  <c r="I27" i="18"/>
  <c r="M27" i="18" s="1"/>
  <c r="G29" i="18"/>
  <c r="I29" i="18" s="1"/>
  <c r="M29" i="18" s="1"/>
  <c r="Q71" i="18"/>
  <c r="P71" i="18"/>
  <c r="H12" i="18"/>
  <c r="M12" i="18"/>
  <c r="M14" i="18" s="1"/>
  <c r="I12" i="18"/>
  <c r="I92" i="18"/>
  <c r="P66" i="18"/>
  <c r="Q66" i="18"/>
  <c r="Q76" i="21" l="1"/>
  <c r="Q76" i="22"/>
  <c r="P76" i="21"/>
  <c r="P76" i="22"/>
  <c r="G34" i="18"/>
  <c r="I34" i="18" s="1"/>
  <c r="M34" i="18" s="1"/>
  <c r="M41" i="18" s="1"/>
  <c r="G35" i="18"/>
  <c r="I35" i="18" s="1"/>
  <c r="M35" i="18" s="1"/>
  <c r="M90" i="18"/>
  <c r="Q49" i="19"/>
  <c r="P49" i="19"/>
  <c r="F94" i="22"/>
  <c r="L90" i="22"/>
  <c r="M90" i="22"/>
  <c r="H10" i="22"/>
  <c r="I10" i="22" s="1"/>
  <c r="M10" i="22"/>
  <c r="M11" i="22"/>
  <c r="H11" i="22"/>
  <c r="I11" i="22" s="1"/>
  <c r="M11" i="21"/>
  <c r="H11" i="21"/>
  <c r="I11" i="21" s="1"/>
  <c r="M10" i="21"/>
  <c r="H10" i="21"/>
  <c r="I10" i="21" s="1"/>
  <c r="M90" i="21"/>
  <c r="H10" i="19"/>
  <c r="I10" i="19" s="1"/>
  <c r="M10" i="19"/>
  <c r="F67" i="19"/>
  <c r="L63" i="19"/>
  <c r="M63" i="19" s="1"/>
  <c r="M11" i="19"/>
  <c r="H11" i="19"/>
  <c r="I11" i="19" s="1"/>
  <c r="Q76" i="18"/>
  <c r="P76" i="18"/>
  <c r="M14" i="21" l="1"/>
  <c r="M14" i="19"/>
  <c r="M14" i="22"/>
  <c r="L11" i="14" l="1"/>
  <c r="L12" i="14"/>
  <c r="L10" i="14"/>
  <c r="L9" i="14"/>
  <c r="G6" i="14" l="1"/>
  <c r="G12" i="14" s="1"/>
  <c r="H12" i="14" s="1"/>
  <c r="J15" i="15"/>
  <c r="G20" i="15"/>
  <c r="G19" i="15"/>
  <c r="G18" i="15"/>
  <c r="G17" i="15"/>
  <c r="H17" i="15" s="1"/>
  <c r="I17" i="15" s="1"/>
  <c r="K17" i="15" s="1"/>
  <c r="G16" i="15"/>
  <c r="G15" i="15"/>
  <c r="I42" i="15"/>
  <c r="K42" i="15" s="1"/>
  <c r="I41" i="15"/>
  <c r="K41" i="15" s="1"/>
  <c r="G38" i="15"/>
  <c r="C33" i="15"/>
  <c r="G35" i="15" s="1"/>
  <c r="C32" i="15"/>
  <c r="G34" i="15" s="1"/>
  <c r="G31" i="15"/>
  <c r="I31" i="15" s="1"/>
  <c r="K31" i="15" s="1"/>
  <c r="G29" i="15"/>
  <c r="I29" i="15" s="1"/>
  <c r="K29" i="15" s="1"/>
  <c r="G23" i="15"/>
  <c r="G24" i="15"/>
  <c r="G13" i="15"/>
  <c r="G12" i="15"/>
  <c r="G11" i="15"/>
  <c r="U7" i="15"/>
  <c r="G9" i="15"/>
  <c r="G8" i="15"/>
  <c r="O5" i="15"/>
  <c r="P5" i="15"/>
  <c r="P5" i="16"/>
  <c r="G8" i="14" l="1"/>
  <c r="G7" i="14"/>
  <c r="M7" i="14" s="1"/>
  <c r="I18" i="15"/>
  <c r="K18" i="15" s="1"/>
  <c r="H16" i="15"/>
  <c r="I16" i="15" s="1"/>
  <c r="K16" i="15" s="1"/>
  <c r="I15" i="15"/>
  <c r="K15" i="15" s="1"/>
  <c r="I20" i="15"/>
  <c r="K20" i="15" s="1"/>
  <c r="G30" i="15"/>
  <c r="G26" i="15"/>
  <c r="G27" i="15" s="1"/>
  <c r="G10" i="15"/>
  <c r="G14" i="15" s="1"/>
  <c r="I19" i="15" s="1"/>
  <c r="K19" i="15" s="1"/>
  <c r="G25" i="15"/>
  <c r="P7" i="15"/>
  <c r="P6" i="15"/>
  <c r="P14" i="17"/>
  <c r="P13" i="17"/>
  <c r="J33" i="17"/>
  <c r="J32" i="17"/>
  <c r="G19" i="17"/>
  <c r="I19" i="17" s="1"/>
  <c r="K19" i="17" s="1"/>
  <c r="Z8" i="17"/>
  <c r="AD8" i="17" s="1"/>
  <c r="G42" i="17" s="1"/>
  <c r="G45" i="17" s="1"/>
  <c r="Z7" i="17"/>
  <c r="AD7" i="17" s="1"/>
  <c r="Y5" i="17"/>
  <c r="R6" i="17"/>
  <c r="V6" i="17" s="1"/>
  <c r="R7" i="17"/>
  <c r="T7" i="17" s="1"/>
  <c r="U7" i="17" s="1"/>
  <c r="R5" i="17"/>
  <c r="U5" i="17" s="1"/>
  <c r="Q5" i="17"/>
  <c r="P8" i="17"/>
  <c r="G33" i="17" s="1"/>
  <c r="P7" i="17"/>
  <c r="P6" i="17"/>
  <c r="P5" i="17"/>
  <c r="AE8" i="17"/>
  <c r="G41" i="17" s="1"/>
  <c r="G49" i="17" s="1"/>
  <c r="R8" i="17"/>
  <c r="G34" i="17" s="1"/>
  <c r="Q8" i="17"/>
  <c r="G32" i="17" s="1"/>
  <c r="Q7" i="17"/>
  <c r="J7" i="17"/>
  <c r="Z6" i="17"/>
  <c r="G16" i="17" s="1"/>
  <c r="I16" i="17" s="1"/>
  <c r="K16" i="17" s="1"/>
  <c r="Q6" i="17"/>
  <c r="J6" i="17"/>
  <c r="G94" i="16"/>
  <c r="C87" i="16"/>
  <c r="G79" i="16"/>
  <c r="I79" i="16" s="1"/>
  <c r="K79" i="16" s="1"/>
  <c r="C78" i="16"/>
  <c r="G71" i="16"/>
  <c r="G67" i="16"/>
  <c r="G72" i="16"/>
  <c r="I72" i="16" s="1"/>
  <c r="K72" i="16" s="1"/>
  <c r="I67" i="16"/>
  <c r="K67" i="16" s="1"/>
  <c r="G46" i="16"/>
  <c r="I46" i="16" s="1"/>
  <c r="K46" i="16" s="1"/>
  <c r="G45" i="16"/>
  <c r="G47" i="16" s="1"/>
  <c r="I47" i="16" s="1"/>
  <c r="K47" i="16" s="1"/>
  <c r="I44" i="16"/>
  <c r="K44" i="16" s="1"/>
  <c r="I42" i="16"/>
  <c r="K42" i="16" s="1"/>
  <c r="I43" i="16"/>
  <c r="K43" i="16" s="1"/>
  <c r="I41" i="16"/>
  <c r="K41" i="16" s="1"/>
  <c r="I40" i="16"/>
  <c r="K40" i="16" s="1"/>
  <c r="I32" i="16"/>
  <c r="K32" i="16" s="1"/>
  <c r="I31" i="16"/>
  <c r="K31" i="16" s="1"/>
  <c r="I33" i="16"/>
  <c r="K33" i="16" s="1"/>
  <c r="I30" i="16"/>
  <c r="K30" i="16" s="1"/>
  <c r="I29" i="16"/>
  <c r="K29" i="16" s="1"/>
  <c r="G51" i="16"/>
  <c r="G68" i="16" s="1"/>
  <c r="I18" i="16"/>
  <c r="I17" i="16"/>
  <c r="I16" i="16"/>
  <c r="I15" i="16"/>
  <c r="I14" i="16"/>
  <c r="I13" i="16"/>
  <c r="I12" i="16"/>
  <c r="I11" i="16"/>
  <c r="I94" i="16"/>
  <c r="K94" i="16" s="1"/>
  <c r="G91" i="16"/>
  <c r="I91" i="16" s="1"/>
  <c r="K91" i="16" s="1"/>
  <c r="I90" i="16"/>
  <c r="K90" i="16" s="1"/>
  <c r="I89" i="16"/>
  <c r="K89" i="16" s="1"/>
  <c r="I88" i="16"/>
  <c r="K88" i="16" s="1"/>
  <c r="N87" i="16"/>
  <c r="O87" i="16" s="1"/>
  <c r="K87" i="16"/>
  <c r="N86" i="16"/>
  <c r="O86" i="16" s="1"/>
  <c r="G86" i="16"/>
  <c r="I86" i="16" s="1"/>
  <c r="K86" i="16" s="1"/>
  <c r="N85" i="16"/>
  <c r="O85" i="16" s="1"/>
  <c r="G85" i="16"/>
  <c r="G92" i="16" s="1"/>
  <c r="I92" i="16" s="1"/>
  <c r="K92" i="16" s="1"/>
  <c r="N84" i="16"/>
  <c r="O84" i="16" s="1"/>
  <c r="K84" i="16"/>
  <c r="N83" i="16"/>
  <c r="O83" i="16" s="1"/>
  <c r="K83" i="16"/>
  <c r="N82" i="16"/>
  <c r="O82" i="16" s="1"/>
  <c r="G82" i="16"/>
  <c r="I82" i="16" s="1"/>
  <c r="K82" i="16" s="1"/>
  <c r="N81" i="16"/>
  <c r="O81" i="16" s="1"/>
  <c r="I81" i="16"/>
  <c r="K81" i="16" s="1"/>
  <c r="I80" i="16"/>
  <c r="K80" i="16" s="1"/>
  <c r="I78" i="16"/>
  <c r="N77" i="16"/>
  <c r="O77" i="16" s="1"/>
  <c r="N76" i="16"/>
  <c r="O76" i="16" s="1"/>
  <c r="N75" i="16"/>
  <c r="O75" i="16" s="1"/>
  <c r="N74" i="16"/>
  <c r="O74" i="16" s="1"/>
  <c r="I74" i="16"/>
  <c r="K74" i="16" s="1"/>
  <c r="N73" i="16"/>
  <c r="O73" i="16" s="1"/>
  <c r="G73" i="16"/>
  <c r="I73" i="16" s="1"/>
  <c r="K73" i="16" s="1"/>
  <c r="N72" i="16"/>
  <c r="O72" i="16" s="1"/>
  <c r="I65" i="16"/>
  <c r="K65" i="16" s="1"/>
  <c r="I64" i="16"/>
  <c r="K64" i="16" s="1"/>
  <c r="I63" i="16"/>
  <c r="K63" i="16" s="1"/>
  <c r="I62" i="16"/>
  <c r="K62" i="16" s="1"/>
  <c r="I61" i="16"/>
  <c r="K61" i="16" s="1"/>
  <c r="I60" i="16"/>
  <c r="K60" i="16" s="1"/>
  <c r="I59" i="16"/>
  <c r="K59" i="16" s="1"/>
  <c r="I58" i="16"/>
  <c r="K58" i="16" s="1"/>
  <c r="I57" i="16"/>
  <c r="K57" i="16" s="1"/>
  <c r="I56" i="16"/>
  <c r="K56" i="16" s="1"/>
  <c r="I55" i="16"/>
  <c r="K55" i="16" s="1"/>
  <c r="I54" i="16"/>
  <c r="K54" i="16" s="1"/>
  <c r="I53" i="16"/>
  <c r="K53" i="16" s="1"/>
  <c r="I52" i="16"/>
  <c r="N52" i="16" s="1"/>
  <c r="I50" i="16"/>
  <c r="K50" i="16" s="1"/>
  <c r="I49" i="16"/>
  <c r="K49" i="16" s="1"/>
  <c r="I48" i="16"/>
  <c r="K48" i="16" s="1"/>
  <c r="O47" i="16"/>
  <c r="M47" i="16"/>
  <c r="I45" i="16"/>
  <c r="K45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N20" i="16" s="1"/>
  <c r="I19" i="16"/>
  <c r="K19" i="16" s="1"/>
  <c r="I10" i="16"/>
  <c r="I9" i="16"/>
  <c r="I8" i="16"/>
  <c r="I7" i="16"/>
  <c r="I6" i="16"/>
  <c r="Q5" i="16"/>
  <c r="O5" i="16"/>
  <c r="N5" i="16"/>
  <c r="P17" i="16" s="1"/>
  <c r="I34" i="15"/>
  <c r="I24" i="15"/>
  <c r="K24" i="15" s="1"/>
  <c r="O35" i="15"/>
  <c r="P35" i="15" s="1"/>
  <c r="O34" i="15"/>
  <c r="P34" i="15" s="1"/>
  <c r="O33" i="15"/>
  <c r="P33" i="15" s="1"/>
  <c r="K33" i="15"/>
  <c r="O32" i="15"/>
  <c r="P32" i="15" s="1"/>
  <c r="K32" i="15"/>
  <c r="I28" i="15"/>
  <c r="O27" i="15"/>
  <c r="P27" i="15" s="1"/>
  <c r="O26" i="15"/>
  <c r="P26" i="15" s="1"/>
  <c r="O25" i="15"/>
  <c r="P25" i="15" s="1"/>
  <c r="O24" i="15"/>
  <c r="P24" i="15" s="1"/>
  <c r="I13" i="15"/>
  <c r="K13" i="15" s="1"/>
  <c r="I12" i="15"/>
  <c r="K12" i="15" s="1"/>
  <c r="I11" i="15"/>
  <c r="K11" i="15" s="1"/>
  <c r="O10" i="15"/>
  <c r="I9" i="15"/>
  <c r="N9" i="15" s="1"/>
  <c r="I8" i="15"/>
  <c r="I7" i="15"/>
  <c r="I6" i="15"/>
  <c r="Q5" i="15"/>
  <c r="N5" i="15"/>
  <c r="M6" i="14"/>
  <c r="F48" i="14"/>
  <c r="G48" i="14"/>
  <c r="P16" i="16" l="1"/>
  <c r="M8" i="14"/>
  <c r="K28" i="15"/>
  <c r="I30" i="15"/>
  <c r="K30" i="15" s="1"/>
  <c r="K34" i="15"/>
  <c r="I35" i="15"/>
  <c r="G36" i="15" s="1"/>
  <c r="I36" i="15" s="1"/>
  <c r="Q10" i="15"/>
  <c r="G39" i="17"/>
  <c r="I39" i="17" s="1"/>
  <c r="K39" i="17" s="1"/>
  <c r="I41" i="17"/>
  <c r="K41" i="17" s="1"/>
  <c r="I34" i="17"/>
  <c r="K34" i="17" s="1"/>
  <c r="H32" i="17"/>
  <c r="I32" i="17" s="1"/>
  <c r="K32" i="17"/>
  <c r="S8" i="17"/>
  <c r="G35" i="17" s="1"/>
  <c r="G7" i="17"/>
  <c r="K7" i="17" s="1"/>
  <c r="S7" i="17"/>
  <c r="H45" i="17"/>
  <c r="I45" i="17" s="1"/>
  <c r="K45" i="17" s="1"/>
  <c r="H33" i="17"/>
  <c r="I33" i="17" s="1"/>
  <c r="I35" i="17"/>
  <c r="K35" i="17" s="1"/>
  <c r="H49" i="17"/>
  <c r="I49" i="17" s="1"/>
  <c r="K49" i="17" s="1"/>
  <c r="K33" i="17"/>
  <c r="I42" i="17"/>
  <c r="K42" i="17" s="1"/>
  <c r="G46" i="17"/>
  <c r="I46" i="17" s="1"/>
  <c r="K46" i="17" s="1"/>
  <c r="G15" i="17"/>
  <c r="I15" i="17" s="1"/>
  <c r="K15" i="17" s="1"/>
  <c r="G8" i="17"/>
  <c r="AC8" i="17"/>
  <c r="G40" i="17" s="1"/>
  <c r="I40" i="17" s="1"/>
  <c r="K40" i="17" s="1"/>
  <c r="G6" i="17"/>
  <c r="K6" i="17" s="1"/>
  <c r="H7" i="17"/>
  <c r="I7" i="17" s="1"/>
  <c r="AB7" i="17"/>
  <c r="G18" i="17" s="1"/>
  <c r="I18" i="17" s="1"/>
  <c r="K18" i="17" s="1"/>
  <c r="V5" i="17"/>
  <c r="G12" i="17" s="1"/>
  <c r="S5" i="17"/>
  <c r="G27" i="17"/>
  <c r="H27" i="17" s="1"/>
  <c r="AA6" i="17"/>
  <c r="G17" i="17" s="1"/>
  <c r="I17" i="17" s="1"/>
  <c r="K17" i="17" s="1"/>
  <c r="U6" i="17"/>
  <c r="G11" i="17" s="1"/>
  <c r="AD6" i="17"/>
  <c r="S6" i="17"/>
  <c r="W6" i="17" s="1"/>
  <c r="G13" i="17" s="1"/>
  <c r="X8" i="17"/>
  <c r="G38" i="17" s="1"/>
  <c r="X7" i="17"/>
  <c r="G14" i="17" s="1"/>
  <c r="T8" i="17"/>
  <c r="G36" i="17" s="1"/>
  <c r="I36" i="17" s="1"/>
  <c r="K36" i="17" s="1"/>
  <c r="P18" i="16"/>
  <c r="P15" i="16"/>
  <c r="P12" i="16"/>
  <c r="P11" i="16"/>
  <c r="P13" i="16"/>
  <c r="P14" i="16"/>
  <c r="I68" i="16"/>
  <c r="K68" i="16" s="1"/>
  <c r="P10" i="16"/>
  <c r="G76" i="16"/>
  <c r="I76" i="16" s="1"/>
  <c r="K76" i="16" s="1"/>
  <c r="P6" i="16"/>
  <c r="N19" i="16"/>
  <c r="P8" i="16"/>
  <c r="K78" i="16"/>
  <c r="P9" i="16"/>
  <c r="P7" i="16"/>
  <c r="G66" i="16"/>
  <c r="H66" i="16" s="1"/>
  <c r="I66" i="16" s="1"/>
  <c r="K66" i="16" s="1"/>
  <c r="K52" i="16"/>
  <c r="H71" i="16"/>
  <c r="I71" i="16" s="1"/>
  <c r="K71" i="16" s="1"/>
  <c r="I85" i="16"/>
  <c r="K85" i="16" s="1"/>
  <c r="G93" i="16"/>
  <c r="I93" i="16" s="1"/>
  <c r="K93" i="16" s="1"/>
  <c r="K20" i="16"/>
  <c r="I51" i="16"/>
  <c r="K51" i="16" s="1"/>
  <c r="G75" i="16"/>
  <c r="I75" i="16" s="1"/>
  <c r="K75" i="16" s="1"/>
  <c r="I25" i="15"/>
  <c r="K25" i="15" s="1"/>
  <c r="H14" i="15"/>
  <c r="I14" i="15" s="1"/>
  <c r="K14" i="15" s="1"/>
  <c r="I10" i="15"/>
  <c r="K10" i="15" s="1"/>
  <c r="K9" i="15"/>
  <c r="J6" i="15"/>
  <c r="K6" i="15" s="1"/>
  <c r="K21" i="15" s="1"/>
  <c r="J7" i="15"/>
  <c r="K7" i="15" s="1"/>
  <c r="H23" i="15"/>
  <c r="I23" i="15" s="1"/>
  <c r="K23" i="15" s="1"/>
  <c r="N8" i="15"/>
  <c r="K8" i="15"/>
  <c r="E65" i="14"/>
  <c r="E64" i="14"/>
  <c r="D64" i="14"/>
  <c r="I63" i="14"/>
  <c r="E63" i="14"/>
  <c r="D63" i="14"/>
  <c r="E62" i="14"/>
  <c r="D62" i="14"/>
  <c r="E61" i="14"/>
  <c r="D61" i="14"/>
  <c r="E60" i="14"/>
  <c r="D60" i="14"/>
  <c r="I59" i="14"/>
  <c r="E59" i="14"/>
  <c r="D59" i="14"/>
  <c r="E58" i="14"/>
  <c r="D58" i="14"/>
  <c r="E57" i="14"/>
  <c r="D57" i="14"/>
  <c r="E56" i="14"/>
  <c r="E66" i="14" s="1"/>
  <c r="D56" i="14"/>
  <c r="D66" i="14" s="1"/>
  <c r="N54" i="14"/>
  <c r="H54" i="14"/>
  <c r="G53" i="14"/>
  <c r="C68" i="14" s="1"/>
  <c r="F53" i="14"/>
  <c r="E53" i="14"/>
  <c r="D53" i="14"/>
  <c r="G52" i="14"/>
  <c r="M52" i="14" s="1"/>
  <c r="F52" i="14"/>
  <c r="E52" i="14"/>
  <c r="D52" i="14"/>
  <c r="G51" i="14"/>
  <c r="C66" i="14" s="1"/>
  <c r="F51" i="14"/>
  <c r="E51" i="14"/>
  <c r="D51" i="14"/>
  <c r="G50" i="14"/>
  <c r="M50" i="14" s="1"/>
  <c r="F50" i="14"/>
  <c r="E50" i="14"/>
  <c r="D50" i="14"/>
  <c r="G49" i="14"/>
  <c r="C64" i="14" s="1"/>
  <c r="F49" i="14"/>
  <c r="E49" i="14"/>
  <c r="D49" i="14"/>
  <c r="M48" i="14"/>
  <c r="P43" i="14" s="1"/>
  <c r="D48" i="14"/>
  <c r="O43" i="14" s="1"/>
  <c r="G47" i="14"/>
  <c r="H62" i="14" s="1"/>
  <c r="E47" i="14"/>
  <c r="D47" i="14"/>
  <c r="F47" i="14" s="1"/>
  <c r="G46" i="14"/>
  <c r="C61" i="14" s="1"/>
  <c r="F46" i="14"/>
  <c r="E46" i="14"/>
  <c r="D46" i="14"/>
  <c r="G45" i="14"/>
  <c r="M45" i="14" s="1"/>
  <c r="F45" i="14"/>
  <c r="E45" i="14"/>
  <c r="D45" i="14"/>
  <c r="T23" i="14"/>
  <c r="R43" i="14"/>
  <c r="G44" i="14"/>
  <c r="C59" i="14" s="1"/>
  <c r="F44" i="14"/>
  <c r="E44" i="14"/>
  <c r="D44" i="14"/>
  <c r="G43" i="14"/>
  <c r="M43" i="14" s="1"/>
  <c r="F43" i="14"/>
  <c r="E43" i="14"/>
  <c r="D43" i="14"/>
  <c r="G42" i="14"/>
  <c r="H57" i="14" s="1"/>
  <c r="F42" i="14"/>
  <c r="E42" i="14"/>
  <c r="D42" i="14"/>
  <c r="G41" i="14"/>
  <c r="C56" i="14" s="1"/>
  <c r="F41" i="14"/>
  <c r="E41" i="14"/>
  <c r="D41" i="14"/>
  <c r="M13" i="14"/>
  <c r="I13" i="14"/>
  <c r="G9" i="14"/>
  <c r="I8" i="14"/>
  <c r="I7" i="14"/>
  <c r="I6" i="14"/>
  <c r="G10" i="14" l="1"/>
  <c r="H10" i="14" s="1"/>
  <c r="H9" i="14"/>
  <c r="I9" i="14" s="1"/>
  <c r="M10" i="14"/>
  <c r="I10" i="14"/>
  <c r="K36" i="15"/>
  <c r="K35" i="15"/>
  <c r="I37" i="15"/>
  <c r="K37" i="15" s="1"/>
  <c r="I38" i="17"/>
  <c r="K38" i="17" s="1"/>
  <c r="G47" i="17"/>
  <c r="G9" i="17"/>
  <c r="G24" i="17"/>
  <c r="I24" i="17" s="1"/>
  <c r="K24" i="17" s="1"/>
  <c r="H47" i="17"/>
  <c r="I47" i="17" s="1"/>
  <c r="K47" i="17" s="1"/>
  <c r="G25" i="17"/>
  <c r="H25" i="17" s="1"/>
  <c r="I25" i="17" s="1"/>
  <c r="K25" i="17" s="1"/>
  <c r="H6" i="17"/>
  <c r="I6" i="17" s="1"/>
  <c r="I12" i="17"/>
  <c r="K12" i="17" s="1"/>
  <c r="G20" i="17"/>
  <c r="I13" i="17"/>
  <c r="K13" i="17" s="1"/>
  <c r="I14" i="17"/>
  <c r="K14" i="17" s="1"/>
  <c r="I27" i="17"/>
  <c r="K27" i="17" s="1"/>
  <c r="U8" i="17"/>
  <c r="G37" i="17" s="1"/>
  <c r="I37" i="17" s="1"/>
  <c r="K37" i="17" s="1"/>
  <c r="T6" i="17"/>
  <c r="G10" i="17" s="1"/>
  <c r="I10" i="17" s="1"/>
  <c r="K10" i="17" s="1"/>
  <c r="I11" i="17"/>
  <c r="K11" i="17" s="1"/>
  <c r="I9" i="17"/>
  <c r="K9" i="17" s="1"/>
  <c r="I8" i="17"/>
  <c r="K8" i="17" s="1"/>
  <c r="J15" i="16"/>
  <c r="K15" i="16" s="1"/>
  <c r="J14" i="16"/>
  <c r="K14" i="16" s="1"/>
  <c r="J9" i="16"/>
  <c r="K9" i="16" s="1"/>
  <c r="J12" i="16"/>
  <c r="K12" i="16" s="1"/>
  <c r="J17" i="16"/>
  <c r="K17" i="16" s="1"/>
  <c r="J10" i="16"/>
  <c r="K10" i="16" s="1"/>
  <c r="J11" i="16"/>
  <c r="K11" i="16" s="1"/>
  <c r="J16" i="16"/>
  <c r="K16" i="16" s="1"/>
  <c r="J7" i="16"/>
  <c r="K7" i="16" s="1"/>
  <c r="J8" i="16"/>
  <c r="K8" i="16" s="1"/>
  <c r="G77" i="16"/>
  <c r="I77" i="16" s="1"/>
  <c r="K77" i="16" s="1"/>
  <c r="K96" i="16" s="1"/>
  <c r="J6" i="16"/>
  <c r="K6" i="16" s="1"/>
  <c r="O21" i="15"/>
  <c r="I26" i="15"/>
  <c r="K26" i="15" s="1"/>
  <c r="I27" i="15"/>
  <c r="K27" i="15" s="1"/>
  <c r="M12" i="14"/>
  <c r="G11" i="14"/>
  <c r="O42" i="14"/>
  <c r="O38" i="14"/>
  <c r="O39" i="14"/>
  <c r="O48" i="14"/>
  <c r="L49" i="14"/>
  <c r="R44" i="14" s="1"/>
  <c r="O46" i="14"/>
  <c r="O44" i="14"/>
  <c r="M51" i="14"/>
  <c r="Q46" i="14" s="1"/>
  <c r="O47" i="14"/>
  <c r="L46" i="14"/>
  <c r="R41" i="14" s="1"/>
  <c r="O36" i="14"/>
  <c r="M44" i="14"/>
  <c r="Q39" i="14" s="1"/>
  <c r="O41" i="14"/>
  <c r="M42" i="14"/>
  <c r="Q37" i="14" s="1"/>
  <c r="C67" i="14"/>
  <c r="O40" i="14"/>
  <c r="O45" i="14"/>
  <c r="L53" i="14"/>
  <c r="R48" i="14" s="1"/>
  <c r="D54" i="14"/>
  <c r="M53" i="14"/>
  <c r="E54" i="14"/>
  <c r="O37" i="14"/>
  <c r="L44" i="14"/>
  <c r="R39" i="14" s="1"/>
  <c r="M46" i="14"/>
  <c r="M49" i="14"/>
  <c r="L51" i="14"/>
  <c r="R46" i="14" s="1"/>
  <c r="C57" i="14"/>
  <c r="C62" i="14"/>
  <c r="I62" i="14"/>
  <c r="Q43" i="14"/>
  <c r="Q47" i="14"/>
  <c r="P47" i="14"/>
  <c r="Q38" i="14"/>
  <c r="P38" i="14"/>
  <c r="P40" i="14"/>
  <c r="Q40" i="14"/>
  <c r="I57" i="14"/>
  <c r="P45" i="14"/>
  <c r="Q45" i="14"/>
  <c r="F54" i="14"/>
  <c r="L41" i="14"/>
  <c r="L43" i="14"/>
  <c r="R38" i="14" s="1"/>
  <c r="G54" i="14"/>
  <c r="H56" i="14"/>
  <c r="C58" i="14"/>
  <c r="H60" i="14"/>
  <c r="C63" i="14"/>
  <c r="H58" i="14"/>
  <c r="M41" i="14"/>
  <c r="L45" i="14"/>
  <c r="R40" i="14" s="1"/>
  <c r="L47" i="14"/>
  <c r="R42" i="14" s="1"/>
  <c r="L50" i="14"/>
  <c r="R45" i="14" s="1"/>
  <c r="L52" i="14"/>
  <c r="R47" i="14" s="1"/>
  <c r="C60" i="14"/>
  <c r="H61" i="14"/>
  <c r="C65" i="14"/>
  <c r="M9" i="14"/>
  <c r="L42" i="14"/>
  <c r="R37" i="14" s="1"/>
  <c r="M47" i="14"/>
  <c r="I38" i="15" l="1"/>
  <c r="K38" i="15" s="1"/>
  <c r="G43" i="17"/>
  <c r="G44" i="17"/>
  <c r="G48" i="17"/>
  <c r="I48" i="17" s="1"/>
  <c r="K48" i="17" s="1"/>
  <c r="I43" i="17"/>
  <c r="I20" i="17"/>
  <c r="K20" i="17" s="1"/>
  <c r="G23" i="17"/>
  <c r="H23" i="17" s="1"/>
  <c r="I23" i="17" s="1"/>
  <c r="K23" i="17" s="1"/>
  <c r="G21" i="17"/>
  <c r="G29" i="17" s="1"/>
  <c r="G22" i="17"/>
  <c r="G30" i="17" s="1"/>
  <c r="J13" i="16"/>
  <c r="K13" i="16" s="1"/>
  <c r="J18" i="16"/>
  <c r="K18" i="16" s="1"/>
  <c r="I12" i="14"/>
  <c r="P46" i="14"/>
  <c r="P37" i="14"/>
  <c r="O49" i="14"/>
  <c r="P39" i="14"/>
  <c r="Q48" i="14"/>
  <c r="P48" i="14"/>
  <c r="C71" i="14"/>
  <c r="F67" i="14" s="1"/>
  <c r="Q44" i="14"/>
  <c r="P44" i="14"/>
  <c r="P41" i="14"/>
  <c r="Q41" i="14"/>
  <c r="L54" i="14"/>
  <c r="R36" i="14"/>
  <c r="R49" i="14" s="1"/>
  <c r="Q36" i="14"/>
  <c r="M54" i="14"/>
  <c r="P36" i="14"/>
  <c r="M11" i="14"/>
  <c r="M14" i="14" s="1"/>
  <c r="I11" i="14"/>
  <c r="I61" i="14"/>
  <c r="I58" i="14"/>
  <c r="I56" i="14"/>
  <c r="I60" i="14"/>
  <c r="P42" i="14"/>
  <c r="Q42" i="14"/>
  <c r="G50" i="17" l="1"/>
  <c r="I50" i="17" s="1"/>
  <c r="K50" i="17" s="1"/>
  <c r="G51" i="17"/>
  <c r="I51" i="17" s="1"/>
  <c r="K51" i="17" s="1"/>
  <c r="K43" i="17"/>
  <c r="I39" i="15"/>
  <c r="K39" i="15" s="1"/>
  <c r="I44" i="17"/>
  <c r="K44" i="17" s="1"/>
  <c r="G52" i="17"/>
  <c r="I52" i="17" s="1"/>
  <c r="K52" i="17" s="1"/>
  <c r="I22" i="17"/>
  <c r="K22" i="17" s="1"/>
  <c r="I30" i="17"/>
  <c r="K30" i="17" s="1"/>
  <c r="I29" i="17"/>
  <c r="K29" i="17" s="1"/>
  <c r="K21" i="17"/>
  <c r="G26" i="17"/>
  <c r="I26" i="17" s="1"/>
  <c r="K26" i="17" s="1"/>
  <c r="I21" i="17"/>
  <c r="G28" i="17"/>
  <c r="I28" i="17" s="1"/>
  <c r="K28" i="17" s="1"/>
  <c r="K69" i="16"/>
  <c r="N69" i="16" s="1"/>
  <c r="L63" i="14"/>
  <c r="I65" i="14"/>
  <c r="Q49" i="14"/>
  <c r="P49" i="14"/>
  <c r="L56" i="14"/>
  <c r="K53" i="17" l="1"/>
  <c r="I40" i="15"/>
  <c r="K40" i="15" s="1"/>
  <c r="K43" i="15" s="1"/>
  <c r="M6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G6" authorId="0" shapeId="0" xr:uid="{FFFE3A78-6DD9-4708-89FF-A9E6B9F88347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</t>
        </r>
      </text>
    </comment>
    <comment ref="B17" authorId="0" shapeId="0" xr:uid="{CE21B634-3741-4764-AAF0-C74E23613AEA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G6" authorId="0" shapeId="0" xr:uid="{C7218C41-492D-48E3-819E-54A0E234ECDE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</t>
        </r>
      </text>
    </comment>
    <comment ref="E16" authorId="0" shapeId="0" xr:uid="{59744EE6-9ECE-420F-8858-D5A6CAA1F2FB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  <comment ref="B44" authorId="0" shapeId="0" xr:uid="{BC9E9627-1973-4A84-9692-29406A92FD02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G6" authorId="0" shapeId="0" xr:uid="{CA314A3C-3235-486C-BC59-DB840EF989F7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</t>
        </r>
      </text>
    </comment>
    <comment ref="B17" authorId="0" shapeId="0" xr:uid="{B2CF9533-EFB2-447E-8237-CAB53BBE3236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E16" authorId="0" shapeId="0" xr:uid="{A11C734F-9A7F-4C1B-90F3-C290A208356E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  <comment ref="B44" authorId="0" shapeId="0" xr:uid="{3F35930E-7380-4C9C-A3E5-D7E367306B5B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九州能源有限公司</author>
  </authors>
  <commentList>
    <comment ref="E16" authorId="0" shapeId="0" xr:uid="{D083944A-F028-4B2C-B323-104024398D4D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  <comment ref="B44" authorId="0" shapeId="0" xr:uid="{AEEE60BA-FAFD-468A-B8F5-EB534E7026F7}">
      <text>
        <r>
          <rPr>
            <b/>
            <sz val="9"/>
            <color indexed="81"/>
            <rFont val="宋体"/>
            <family val="3"/>
            <charset val="134"/>
          </rPr>
          <t>20240408修改:
1、调整钢结构表面处理为涂漆
2、围栏长度调整，对应数量调整
20240409修改：
1、根据招文要求，钢梯钢材表面处理调整为热镀锌，且镀锌厚度不小于65μm。</t>
        </r>
      </text>
    </comment>
  </commentList>
</comments>
</file>

<file path=xl/sharedStrings.xml><?xml version="1.0" encoding="utf-8"?>
<sst xmlns="http://schemas.openxmlformats.org/spreadsheetml/2006/main" count="1695" uniqueCount="367">
  <si>
    <r>
      <rPr>
        <b/>
        <sz val="14"/>
        <rFont val="宋体"/>
        <family val="3"/>
        <charset val="134"/>
      </rPr>
      <t xml:space="preserve">                                                                    编号：</t>
    </r>
    <r>
      <rPr>
        <b/>
        <sz val="14"/>
        <rFont val="宋体"/>
        <family val="3"/>
        <charset val="134"/>
      </rPr>
      <t>WLD-</t>
    </r>
    <r>
      <rPr>
        <b/>
        <sz val="14"/>
        <rFont val="宋体"/>
        <family val="3"/>
        <charset val="134"/>
      </rPr>
      <t>JG01</t>
    </r>
  </si>
  <si>
    <t>序号</t>
  </si>
  <si>
    <t>材料名称及规格</t>
  </si>
  <si>
    <t>规格/长度(mm)</t>
  </si>
  <si>
    <t>材质</t>
  </si>
  <si>
    <t>材质/表面处理</t>
  </si>
  <si>
    <r>
      <rPr>
        <sz val="11"/>
        <rFont val="宋体"/>
        <family val="3"/>
        <charset val="134"/>
      </rPr>
      <t>单位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</si>
  <si>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 xml:space="preserve">数量     </t>
    </r>
    <r>
      <rPr>
        <sz val="9"/>
        <rFont val="宋体"/>
        <family val="3"/>
        <charset val="134"/>
      </rPr>
      <t>（套、根、升）</t>
    </r>
  </si>
  <si>
    <t>耗损备料</t>
  </si>
  <si>
    <r>
      <rPr>
        <sz val="11"/>
        <rFont val="宋体"/>
        <family val="3"/>
        <charset val="134"/>
      </rPr>
      <t xml:space="preserve">到货量   </t>
    </r>
    <r>
      <rPr>
        <sz val="9"/>
        <rFont val="宋体"/>
        <family val="3"/>
        <charset val="134"/>
      </rPr>
      <t>（套、根、包）</t>
    </r>
  </si>
  <si>
    <t>单重/密度
(kg/个、套)(kg/m)</t>
  </si>
  <si>
    <t>重量合计（kg）</t>
  </si>
  <si>
    <t>备注</t>
  </si>
  <si>
    <t>6005-T5</t>
  </si>
  <si>
    <t>银白氧化</t>
  </si>
  <si>
    <t>个</t>
  </si>
  <si>
    <t>中压码</t>
  </si>
  <si>
    <t>套</t>
  </si>
  <si>
    <t>根</t>
  </si>
  <si>
    <t>导轨连接件</t>
  </si>
  <si>
    <t>A2-70</t>
  </si>
  <si>
    <t>边压码</t>
  </si>
  <si>
    <t>（配一平一弹一母）</t>
  </si>
  <si>
    <t>合计</t>
  </si>
  <si>
    <t>热浸镀锌</t>
  </si>
  <si>
    <t>围栏</t>
  </si>
  <si>
    <t>块</t>
  </si>
  <si>
    <t>注：</t>
  </si>
  <si>
    <t>1、耗损备品备料，主材（夹具、边中压码、导轨连接件）按采购下单量的3‰，导轨耗损备品备料为6根/MW,这里是提供10根导轨；螺栓按采购下单量的4‰;备品备料数量值达不到1整数的按1整数处理</t>
  </si>
  <si>
    <t>3、材料加工后需对光伏支架系统进行试装，确认安装无误后方可批量生产,夹具需要试装，见施工图；</t>
  </si>
  <si>
    <t>设计</t>
  </si>
  <si>
    <t>校核</t>
  </si>
  <si>
    <t>日期</t>
  </si>
  <si>
    <t>批复</t>
  </si>
  <si>
    <t>项目经理下单</t>
  </si>
  <si>
    <t>压码螺栓一致时</t>
  </si>
  <si>
    <t>角驰直立锁边时</t>
  </si>
  <si>
    <t>导轨连接件2时</t>
  </si>
  <si>
    <t>中压码边压码螺栓</t>
  </si>
  <si>
    <t>侧面夹具安装螺栓</t>
  </si>
  <si>
    <t>夹具与导轨安装螺栓</t>
  </si>
  <si>
    <t>导轨连接螺栓M8X25外六角(配1平1弹1母)</t>
  </si>
  <si>
    <t>统计过程</t>
  </si>
  <si>
    <t>(变量、更改量)</t>
  </si>
  <si>
    <t>变量（根据波峰间距而定）</t>
  </si>
  <si>
    <r>
      <rPr>
        <sz val="11"/>
        <rFont val="宋体"/>
        <family val="3"/>
        <charset val="134"/>
      </rPr>
      <t>组件数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方阵</t>
    </r>
  </si>
  <si>
    <r>
      <rPr>
        <sz val="11"/>
        <rFont val="宋体"/>
        <family val="3"/>
        <charset val="134"/>
      </rPr>
      <t>阵列数量</t>
    </r>
  </si>
  <si>
    <r>
      <rPr>
        <sz val="11"/>
        <rFont val="宋体"/>
        <family val="3"/>
        <charset val="134"/>
      </rPr>
      <t>组件数量</t>
    </r>
  </si>
  <si>
    <t>中压块数量</t>
  </si>
  <si>
    <t>边压块数量</t>
  </si>
  <si>
    <r>
      <rPr>
        <sz val="11"/>
        <rFont val="宋体"/>
        <family val="3"/>
        <charset val="134"/>
      </rPr>
      <t>导轨数量</t>
    </r>
  </si>
  <si>
    <r>
      <rPr>
        <sz val="11"/>
        <rFont val="宋体"/>
        <family val="3"/>
        <charset val="134"/>
      </rPr>
      <t>导轨长度</t>
    </r>
  </si>
  <si>
    <t>导轨拼接</t>
  </si>
  <si>
    <t>夹具数量</t>
  </si>
  <si>
    <t>夹具数量/单根导轨</t>
  </si>
  <si>
    <t>3700+1300</t>
  </si>
  <si>
    <t>4650+2400</t>
  </si>
  <si>
    <t>4650*6+2350</t>
  </si>
  <si>
    <t>4620*13+4000</t>
  </si>
  <si>
    <t>4620*2+4760</t>
  </si>
  <si>
    <r>
      <rPr>
        <b/>
        <sz val="11"/>
        <rFont val="宋体"/>
        <family val="3"/>
        <charset val="134"/>
      </rPr>
      <t>4620*3</t>
    </r>
    <r>
      <rPr>
        <b/>
        <sz val="11"/>
        <rFont val="宋体"/>
        <family val="3"/>
        <charset val="134"/>
      </rPr>
      <t>+</t>
    </r>
    <r>
      <rPr>
        <b/>
        <sz val="11"/>
        <rFont val="宋体"/>
        <family val="3"/>
        <charset val="134"/>
      </rPr>
      <t>3600</t>
    </r>
  </si>
  <si>
    <t>4620*3+4760</t>
  </si>
  <si>
    <t>4620*4+2450</t>
  </si>
  <si>
    <r>
      <rPr>
        <b/>
        <sz val="11"/>
        <rFont val="宋体"/>
        <family val="3"/>
        <charset val="134"/>
      </rPr>
      <t>4620*</t>
    </r>
    <r>
      <rPr>
        <b/>
        <sz val="11"/>
        <rFont val="宋体"/>
        <family val="3"/>
        <charset val="134"/>
      </rPr>
      <t>4</t>
    </r>
    <r>
      <rPr>
        <b/>
        <sz val="11"/>
        <rFont val="宋体"/>
        <family val="3"/>
        <charset val="134"/>
      </rPr>
      <t>+</t>
    </r>
    <r>
      <rPr>
        <b/>
        <sz val="11"/>
        <rFont val="宋体"/>
        <family val="3"/>
        <charset val="134"/>
      </rPr>
      <t>3600</t>
    </r>
  </si>
  <si>
    <t>导轨长度校核</t>
  </si>
  <si>
    <t>彩钢瓦重量</t>
    <phoneticPr fontId="22" type="noConversion"/>
  </si>
  <si>
    <t>（配1平1弹1母）</t>
    <phoneticPr fontId="22" type="noConversion"/>
  </si>
  <si>
    <t>Q235B</t>
    <phoneticPr fontId="22" type="noConversion"/>
  </si>
  <si>
    <t>4、支架厂家根据图纸核对型材数量及规格</t>
    <phoneticPr fontId="22" type="noConversion"/>
  </si>
  <si>
    <t xml:space="preserve">                                                                    编号：LL01</t>
  </si>
  <si>
    <t>规格/长度/累计长度(mm)</t>
  </si>
  <si>
    <r>
      <rPr>
        <sz val="11"/>
        <rFont val="宋体"/>
        <family val="3"/>
        <charset val="134"/>
      </rPr>
      <t xml:space="preserve">数量     </t>
    </r>
    <r>
      <rPr>
        <sz val="9"/>
        <rFont val="宋体"/>
        <family val="3"/>
        <charset val="134"/>
      </rPr>
      <t>（套、根）</t>
    </r>
  </si>
  <si>
    <t>梁连接板200*100*6</t>
  </si>
  <si>
    <t>梁封口板150*100*6</t>
  </si>
  <si>
    <t>底板、顶板、加强筋</t>
  </si>
  <si>
    <t>斜撑、补强钢板</t>
  </si>
  <si>
    <t>一</t>
  </si>
  <si>
    <t>钢架</t>
  </si>
  <si>
    <t>Q355B</t>
  </si>
  <si>
    <t>榀</t>
  </si>
  <si>
    <t>构件放样，按图加工，厂家核对数量，厂家出拼接安装分类图给施工现场</t>
  </si>
  <si>
    <t>锌铝镁处理</t>
  </si>
  <si>
    <t>Q235B</t>
  </si>
  <si>
    <t>φ10直拉杆（配(一根配4平4母，两端螺纹长度200)）</t>
  </si>
  <si>
    <t>φ10拉杆斜拉杆（配(一根配4平4母，两端螺纹长度100)）</t>
  </si>
  <si>
    <t>匹配檩条间距</t>
  </si>
  <si>
    <t>图纸放样确定</t>
  </si>
  <si>
    <t>M10*35螺栓(配2平1弹1母)</t>
  </si>
  <si>
    <t>镀锌</t>
  </si>
  <si>
    <t>8.8级</t>
  </si>
  <si>
    <t>檩托螺栓、檩条连接件螺栓</t>
  </si>
  <si>
    <t>长度现场核实,寿命满足25年</t>
  </si>
  <si>
    <t>M12特殊倒锥形化学锚栓(配1大平垫1弹1母)-长度110mm</t>
  </si>
  <si>
    <t>锚入结构板部分锚栓尺寸</t>
  </si>
  <si>
    <t>M16*50普通螺栓(配两平一弹一母)</t>
  </si>
  <si>
    <t>水平支撑、系杆螺栓</t>
  </si>
  <si>
    <t>kg</t>
  </si>
  <si>
    <t>二</t>
  </si>
  <si>
    <t>防水支架，具体由光伏厂家配备</t>
  </si>
  <si>
    <t>铝合金中压块</t>
  </si>
  <si>
    <t>6005—T5</t>
  </si>
  <si>
    <t>AA15</t>
  </si>
  <si>
    <t>铝合金边压块</t>
  </si>
  <si>
    <t>屋脊盖板中压块</t>
  </si>
  <si>
    <t>屋脊盖板边压块</t>
  </si>
  <si>
    <t>中压块垫块</t>
  </si>
  <si>
    <t>配套防水导轨尺寸</t>
  </si>
  <si>
    <t>不锈钢内六角螺栓M8*35</t>
  </si>
  <si>
    <t>配1平1弹1母</t>
  </si>
  <si>
    <t>自攻自钻螺栓</t>
  </si>
  <si>
    <t>ST5.5*25 配胶垫</t>
  </si>
  <si>
    <t>sus310</t>
  </si>
  <si>
    <t>M防水导轨(展开面288mmx0.8mm)-另详大样图</t>
  </si>
  <si>
    <t>51D+ZM275</t>
  </si>
  <si>
    <t>镀镁铝锌</t>
  </si>
  <si>
    <t>米（总长）</t>
  </si>
  <si>
    <t>此处为总长度，加工按6m一根加工，瓦片式搭接，搭接长度50mm</t>
  </si>
  <si>
    <t>U导水槽（展开面135mmx0.8mm)-另详大样</t>
  </si>
  <si>
    <t>厂家深化</t>
  </si>
  <si>
    <t>屋脊盖板-下屋脊盖板-（屋脊缝水平宽度420mm）-厂家深化</t>
  </si>
  <si>
    <t>屋脊导轨连接件</t>
  </si>
  <si>
    <t>外天沟导水槽（展开面853mm*0.8mm）</t>
  </si>
  <si>
    <t>根（总长）</t>
  </si>
  <si>
    <t>内天沟导水槽（展开面1000mm*0.8mm）</t>
  </si>
  <si>
    <t>外天沟导水槽托架-50mm*5mm扁钢弯折(展开长度1435mm)</t>
  </si>
  <si>
    <t>内天沟导水槽托架-50mm*5mm扁钢弯折(展开长度800mm)</t>
  </si>
  <si>
    <t>需要外加部分的檩条，现场按实际切割</t>
  </si>
  <si>
    <t>确定位置，檩托现场焊接</t>
  </si>
  <si>
    <t>檩托螺栓</t>
  </si>
  <si>
    <t>外天沟托架固定螺栓-M10*25内六角不锈钢螺栓(配1平1弹1母)</t>
  </si>
  <si>
    <t>外天沟托架固定螺栓</t>
  </si>
  <si>
    <t>内天沟托架固定螺栓-M10*25内六角不锈钢螺栓(配1平1弹1母)</t>
  </si>
  <si>
    <t>内天沟托架固定螺栓</t>
  </si>
  <si>
    <t>内天沟固定钉</t>
  </si>
  <si>
    <t>耐侯硅酮密封胶和泡沫条</t>
  </si>
  <si>
    <t>现场确认使用量后自行购买</t>
  </si>
  <si>
    <t>项目经理</t>
  </si>
  <si>
    <t>GJ1（柱：口150*100*3、梁：口160*140*3），包括底板-250*250*14、立柱顶板200*200*12、柱底加劲板4-40x100x6，梁连接板1处-200*100*6/榀,梁封口板2-160*140*6/榀</t>
    <phoneticPr fontId="22" type="noConversion"/>
  </si>
  <si>
    <t>GJ2（柱：口150*100*3、梁：口160*140*3），包括底板-250*250*14、立柱顶板200*200*12、柱底加劲板4-40x100x6，梁连接板1处-200*100*6/榀,梁封口板2-160*140*6/榀</t>
    <phoneticPr fontId="22" type="noConversion"/>
  </si>
  <si>
    <t>GJ3（柱：口150*100*3、梁：口160*140*3），包括底板-250*250*14、立柱顶板200*200*12、柱底加劲板4-40x100x6，梁连接板1处-200*100*6/榀,梁封口板2-160*140*6/榀</t>
    <phoneticPr fontId="22" type="noConversion"/>
  </si>
  <si>
    <t>GJ4（柱：口150*100*3、梁：口160*140*3），包括底板-250*250*14、立柱顶板200*200*12、柱底加劲板4-40x100x6，梁连接板1处-200*100*6/榀,梁封口板2-160*140*6/榀</t>
    <phoneticPr fontId="22" type="noConversion"/>
  </si>
  <si>
    <t>GJ5（柱：口150*100*3、梁：口160*140*3），包括底板-250*250*14、立柱顶板200*200*12、柱底加劲板4-40x100x6，梁连接板1处-200*100*6/榀,梁封口板2-160*140*6/榀</t>
    <phoneticPr fontId="22" type="noConversion"/>
  </si>
  <si>
    <t>斜撑</t>
    <phoneticPr fontId="22" type="noConversion"/>
  </si>
  <si>
    <t>边跨檩条:C160X60X20X2.5</t>
    <phoneticPr fontId="22" type="noConversion"/>
  </si>
  <si>
    <t>中间跨檩条：C160X60X20X2.0</t>
    <phoneticPr fontId="22" type="noConversion"/>
  </si>
  <si>
    <t>边跨-中间跨檩条搭接钢板：C140X50X20X2.0</t>
    <phoneticPr fontId="22" type="noConversion"/>
  </si>
  <si>
    <t>中间跨-中间跨檩条搭接钢板：C140X50X20X2.0</t>
    <phoneticPr fontId="22" type="noConversion"/>
  </si>
  <si>
    <r>
      <t>撑杆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30x2.0</t>
    </r>
    <phoneticPr fontId="22" type="noConversion"/>
  </si>
  <si>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16圆钢，柱间支撑，花篮螺丝张紧，包括连接板</t>
    </r>
    <phoneticPr fontId="22" type="noConversion"/>
  </si>
  <si>
    <r>
      <rPr>
        <sz val="11"/>
        <color theme="1"/>
        <rFont val="Calibri"/>
        <family val="3"/>
      </rPr>
      <t>φ1</t>
    </r>
    <r>
      <rPr>
        <sz val="11"/>
        <color theme="1"/>
        <rFont val="宋体"/>
        <family val="3"/>
        <charset val="134"/>
      </rPr>
      <t>6圆钢，水平支撑，花篮螺丝张紧，包括连接板</t>
    </r>
    <phoneticPr fontId="22" type="noConversion"/>
  </si>
  <si>
    <t>M12*35螺栓(配2平1弹1母)</t>
    <phoneticPr fontId="22" type="noConversion"/>
  </si>
  <si>
    <t>锚入结构梁/结构柱部分锚栓尺寸</t>
    <phoneticPr fontId="22" type="noConversion"/>
  </si>
  <si>
    <t>M12特殊倒锥形化学锚栓(配1大平垫1弹1母)-长度200mm</t>
    <phoneticPr fontId="22" type="noConversion"/>
  </si>
  <si>
    <t>屋脊盖板-上屋脊盖板-（屋脊缝水平宽度400mm）-厂家深化</t>
    <phoneticPr fontId="22" type="noConversion"/>
  </si>
  <si>
    <t>360（400-40）（W)*1134(L)*35(H)*1（钢板厚度）</t>
    <phoneticPr fontId="22" type="noConversion"/>
  </si>
  <si>
    <r>
      <t>1、耗损备品备料，主材（夹具、边中压码、导轨连接件）按采购下单量的3‰，导轨耗损备品备料为6根/MW；螺栓按采购下单量的4‰;备品备料数量值达不到1整数的按1整数处理
2、铝合金材质为:AL 6005-T5表面处理: 银白阳极氧化AA15，氧化膜厚度15um。钢材材质Q235B、Q355B,采用热浸镀锌处理，1.5≤钢厚度＜6,镀锌平均厚度75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m，钢厚度&gt;6,镀锌平均厚度85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m。采用锌铝镁处理，镀锌量不小于275g/m2（双面）或镀铝锌量不小于150g/m2（双面），且满足25年防腐。见施工图
3、材料加工后需对光伏支架系统进行试装，确认安装无误后方可批量生产,夹具需要试装，见施工图；
4、支架厂家根据图纸核对型材数量，
5、边压码规、压码螺栓格匹配组件厚度，这里按组件厚度35mm,35边压统计，压码螺栓具体长度厂家配套</t>
    </r>
    <phoneticPr fontId="22" type="noConversion"/>
  </si>
  <si>
    <t xml:space="preserve">                                            架高结构部分（支架）清单                                   日期：20231107</t>
    <phoneticPr fontId="22" type="noConversion"/>
  </si>
  <si>
    <t>工程名称：万盛兴精密技术（惠州）分布式光伏发电项目(智能加工、钣金自动化示范线厂房)</t>
    <phoneticPr fontId="22" type="noConversion"/>
  </si>
  <si>
    <t>梁7.03m+9.574m+9.574m+9.574m+9.574m+7.03m,立柱2.237m+2.303m+2.373m+2.277m+2.181m+2.277m+2.373m+2.277m+2.181m+2.277m+2.373m+2.303m+2.237m,立柱需要2%切口</t>
    <phoneticPr fontId="22" type="noConversion"/>
  </si>
  <si>
    <t>GJ1a（柱：口150*100*3、梁：口160*140*3），包括底板-250*250*14、立柱顶板200*200*12、柱底加劲板4-40x100x6，梁连接板1处-200*100*6/榀,梁封口板2-160*140*6/榀</t>
    <phoneticPr fontId="22" type="noConversion"/>
  </si>
  <si>
    <t>梁7.03m+9.574m+9.574m+9.574m+9.70m,立柱2.237m+2.303m+2.373m+2.277m+2.181m+2.277m+2.373m+2.277m+2.181m+2.277m+2.373m,立柱需要2%切口</t>
    <phoneticPr fontId="22" type="noConversion"/>
  </si>
  <si>
    <t>梁7.03m+9.574m+9.574m+9.574m+9.574m+4.732m,立柱2.237m+2.303m+2.373m+2.277m+2.181m+2.277m+2.373m+2.277m+2.181m+2.277m+2.373m+2.303m,斜撑 0.777m立柱需要2%切口</t>
    <phoneticPr fontId="22" type="noConversion"/>
  </si>
  <si>
    <t>梁7.03m+9.574m+9.574m+9.574m+7.2m,立柱2.237m+2.303m+2.373m+2.277m+2.181m+2.277m+2.373m+2.277m+2.181m+2.277m+2.317m,立柱需要2%切口</t>
    <phoneticPr fontId="22" type="noConversion"/>
  </si>
  <si>
    <t>梁7.03m+9.574m+9.574m+7.0m,立柱2.237m+2.303m+2.373m+2.277m+2.181m+2.277m+2.373m+2.277m+2.237m,立柱需要2%切口</t>
    <phoneticPr fontId="22" type="noConversion"/>
  </si>
  <si>
    <t>GJ6（柱：口150*100*3、梁：口160*140*3），包括底板-250*250*14、立柱顶板200*200*12、柱底加劲板4-40x100x6，梁连接板1处-200*100*6/榀,梁封口板2-160*140*6/榀</t>
    <phoneticPr fontId="22" type="noConversion"/>
  </si>
  <si>
    <t>GJ7（柱：口150*100*3、梁：口160*140*3），包括底板-250*250*14、立柱顶板200*200*12、柱底加劲板4-40x100x6，梁连接板1处-200*100*6/榀,梁封口板2-160*140*6/榀</t>
    <phoneticPr fontId="22" type="noConversion"/>
  </si>
  <si>
    <t>GJ8（柱：口150*100*3、梁：口160*140*3），包括底板-250*250*14、立柱顶板200*200*12、柱底加劲板4-40x100x6，梁连接板1处-200*100*6/榀,梁封口板2-160*140*6/榀</t>
    <phoneticPr fontId="22" type="noConversion"/>
  </si>
  <si>
    <t>GJ9（柱：口150*100*3、梁：口160*140*3），包括底板-250*250*14、立柱顶板200*200*12、柱底加劲板4-40x100x6，梁连接板1处-200*100*6/榀,梁封口板2-160*140*6/榀</t>
    <phoneticPr fontId="22" type="noConversion"/>
  </si>
  <si>
    <t>GJ10（柱：口150*100*3、梁：口160*140*3），包括底板-250*250*14、立柱顶板200*200*12、柱底加劲板4-40x100x6，梁连接板1处-200*100*6/榀,梁封口板2-160*140*6/榀</t>
    <phoneticPr fontId="22" type="noConversion"/>
  </si>
  <si>
    <t>GJ11（柱：口150*100*3、梁：口160*140*3），包括底板-250*250*14、立柱顶板200*200*12、柱底加劲板4-40x100x6，梁连接板1处-200*100*6/榀,梁封口板2-160*140*6/榀</t>
    <phoneticPr fontId="22" type="noConversion"/>
  </si>
  <si>
    <t>GJ12（柱：口150*100*3、梁：口160*140*3），包括底板-250*250*14、立柱顶板200*200*12、柱底加劲板4-40x100x6，梁连接板1处-200*100*6/榀,梁封口板2-160*140*6/榀</t>
    <phoneticPr fontId="22" type="noConversion"/>
  </si>
  <si>
    <t>梁7.2m+9.574m+13.961m,立柱2.317m+2.277m+2.181m+2.277m+2.373m+2.277m+2.181m+2.099m,立柱需要2%切口</t>
    <phoneticPr fontId="22" type="noConversion"/>
  </si>
  <si>
    <t>梁7.03m+9.574m+9.574m+14.171m,立柱2.237m+2.303m+2.373m+2.277m+2.181m+2.277m+2.373m+2.277m+2.181m+2.099m,立柱需要2%切口</t>
    <phoneticPr fontId="22" type="noConversion"/>
  </si>
  <si>
    <t>梁7.03m+9.574m+9.574m+14.171m+11.67m,立柱2.237m+2.303m+2.373m+2.277m+2.181m+2.277m+2.373m+2.277m+2.181m+2.099m+2.167m+2.249m+2.319m,立柱需要2%切口</t>
    <phoneticPr fontId="22" type="noConversion"/>
  </si>
  <si>
    <t>梁2.4m+9.574m+9.574m+7.2m,立柱2.226m+2.181m+2.277m+2.373m+2.277m+2.181m+2.277m+2.317m,立柱需要2%切口</t>
    <phoneticPr fontId="22" type="noConversion"/>
  </si>
  <si>
    <t>梁4.23m,立柱2.303m+2.237m,立柱需要2%切口</t>
    <phoneticPr fontId="22" type="noConversion"/>
  </si>
  <si>
    <t>梁7.180m,立柱2.376m+2.303m+2.237m,立柱需要2%切口</t>
    <phoneticPr fontId="22" type="noConversion"/>
  </si>
  <si>
    <t>梁7.380m,立柱2.237m+2.181m+2.099m,立柱需要2%切口</t>
    <phoneticPr fontId="22" type="noConversion"/>
  </si>
  <si>
    <t>梁2.2m,立柱2.237m+2.273m,立柱需要2%切口</t>
    <phoneticPr fontId="22" type="noConversion"/>
  </si>
  <si>
    <t>4+4+10+5+5+5+5+5+11+5+5+5+5+5+5+5+5+11+5+5+5+11+5+5</t>
    <phoneticPr fontId="22" type="noConversion"/>
  </si>
  <si>
    <t>檩条搭接件</t>
  </si>
  <si>
    <t>竖向2板</t>
  </si>
  <si>
    <t>方阵</t>
  </si>
  <si>
    <t>组数</t>
  </si>
  <si>
    <t>中压</t>
  </si>
  <si>
    <t>边压</t>
  </si>
  <si>
    <t>檩条斜梁搭接件</t>
  </si>
  <si>
    <t>拉条-2600</t>
  </si>
  <si>
    <t>银白氧化AA15</t>
  </si>
  <si>
    <t>3mm厚檩条/斜梁搭接件</t>
  </si>
  <si>
    <t>3mm厚转角连接件</t>
  </si>
  <si>
    <t>立柱与斜梁连接</t>
  </si>
  <si>
    <t xml:space="preserve"> </t>
  </si>
  <si>
    <t>M10*30内六角螺栓(配2平1弹1母)（平垫为国标大平垫）</t>
  </si>
  <si>
    <t>5.8级，热浸镀锌</t>
  </si>
  <si>
    <t>檩条/斜梁搭接件与檩条的固定</t>
  </si>
  <si>
    <t>M8*45内六角不锈钢螺栓（配一平一弹一塑翼母,平垫为：小平垫外径∅13.5）</t>
  </si>
  <si>
    <t>压码的固定</t>
  </si>
  <si>
    <t>M10*30内六角螺栓（配1平1弹1塑翼母)</t>
  </si>
  <si>
    <t>檩条与斜梁固定</t>
  </si>
  <si>
    <t>M10*30内六角螺栓(配2平1弹1母)</t>
  </si>
  <si>
    <t>斜梁与转角连接件上平面固定</t>
  </si>
  <si>
    <t>拉条与后立柱连接固定</t>
  </si>
  <si>
    <r>
      <rPr>
        <sz val="11"/>
        <color theme="1"/>
        <rFont val="宋体"/>
        <family val="3"/>
        <charset val="134"/>
        <scheme val="minor"/>
      </rPr>
      <t>M10*70外六角螺栓（配2</t>
    </r>
    <r>
      <rPr>
        <sz val="11"/>
        <color theme="1"/>
        <rFont val="宋体"/>
        <family val="3"/>
        <charset val="134"/>
        <scheme val="minor"/>
      </rPr>
      <t>平1弹1母）</t>
    </r>
  </si>
  <si>
    <t>长度现场核实</t>
  </si>
  <si>
    <t>已加进螺栓等重量</t>
  </si>
  <si>
    <t>1、耗损备品备料，主材（夹具、边中压码、导轨连接件）按采购下单量的3‰，导轨耗损备品备料为6根/MW；螺栓按采购下单量的4‰;备品备料数量值达不到1整数的按1整数处理。</t>
  </si>
  <si>
    <t>2、铝合金材质为:AL 6005-T5,表面处理: 银白阳极氧化AA15，见图纸</t>
  </si>
  <si>
    <t>4、材料加工后需对光伏支架系统进行试装，确认安装无误后方可批量生产,支架数量规格匹配项目，清单厂家需要核对；所有钢构件壁厚现场实测不允许出现负公差。</t>
  </si>
  <si>
    <t>5、支架厂家根据图纸核对数量。</t>
  </si>
  <si>
    <t>6、边压码规、压码螺栓格匹配组件厚度，这里按组件厚度35mm,35边压统计，长度60mm;钢架区域中压码采用30压码，长度60mm。</t>
  </si>
  <si>
    <t>7、混凝土墩子需适当增加高度以现场找平,取墩子顶面为基准面。</t>
  </si>
  <si>
    <t xml:space="preserve">日期    </t>
  </si>
  <si>
    <t>工程名称：万盛兴精密技术（惠州）分布式光伏发电项目（梯屋顶矮支架）</t>
    <phoneticPr fontId="22" type="noConversion"/>
  </si>
  <si>
    <t>智能制造厂房一梯屋面-钢支架</t>
    <phoneticPr fontId="22" type="noConversion"/>
  </si>
  <si>
    <t>智能加工、钣金自动化示范线厂房梯屋面-钢支架</t>
    <phoneticPr fontId="22" type="noConversion"/>
  </si>
  <si>
    <t xml:space="preserve">                                            梯屋顶屋面结构部分（钢支架）清单                                    日期：20231107</t>
    <phoneticPr fontId="22" type="noConversion"/>
  </si>
  <si>
    <t>1x3</t>
    <phoneticPr fontId="22" type="noConversion"/>
  </si>
  <si>
    <t>2x10</t>
    <phoneticPr fontId="22" type="noConversion"/>
  </si>
  <si>
    <t>3x9</t>
    <phoneticPr fontId="22" type="noConversion"/>
  </si>
  <si>
    <t>3x7</t>
    <phoneticPr fontId="22" type="noConversion"/>
  </si>
  <si>
    <t>前立柱-355</t>
    <phoneticPr fontId="22" type="noConversion"/>
  </si>
  <si>
    <t>中立柱-670</t>
    <phoneticPr fontId="22" type="noConversion"/>
  </si>
  <si>
    <t>中立柱-1005</t>
    <phoneticPr fontId="22" type="noConversion"/>
  </si>
  <si>
    <t>后立柱-1335</t>
    <phoneticPr fontId="22" type="noConversion"/>
  </si>
  <si>
    <t>斜梁-2200</t>
    <phoneticPr fontId="22" type="noConversion"/>
  </si>
  <si>
    <t>斜梁-4200</t>
    <phoneticPr fontId="22" type="noConversion"/>
  </si>
  <si>
    <t>斜梁-6300</t>
    <phoneticPr fontId="22" type="noConversion"/>
  </si>
  <si>
    <t>檩条1-3550</t>
    <phoneticPr fontId="22" type="noConversion"/>
  </si>
  <si>
    <t>檩条2-6000</t>
    <phoneticPr fontId="22" type="noConversion"/>
  </si>
  <si>
    <t>檩条3-5730</t>
    <phoneticPr fontId="22" type="noConversion"/>
  </si>
  <si>
    <t>檩条4-4580</t>
    <phoneticPr fontId="22" type="noConversion"/>
  </si>
  <si>
    <t>檩条5-2260</t>
    <phoneticPr fontId="22" type="noConversion"/>
  </si>
  <si>
    <t>拉条-2600</t>
    <phoneticPr fontId="22" type="noConversion"/>
  </si>
  <si>
    <t>立柱1(0.25m)-U42*41*2.0</t>
    <phoneticPr fontId="22" type="noConversion"/>
  </si>
  <si>
    <t>Q355B</t>
    <phoneticPr fontId="22" type="noConversion"/>
  </si>
  <si>
    <t>斜梁1（2.2m)-U62*41*2.0</t>
    <phoneticPr fontId="22" type="noConversion"/>
  </si>
  <si>
    <t>斜梁2(4.2m)-U62*41*2.0</t>
    <phoneticPr fontId="22" type="noConversion"/>
  </si>
  <si>
    <t>斜梁3(6.3m)-U62*41*2.0</t>
    <phoneticPr fontId="22" type="noConversion"/>
  </si>
  <si>
    <t>檩条1（3.55m）-U52*41*2.0</t>
    <phoneticPr fontId="22" type="noConversion"/>
  </si>
  <si>
    <t>檩条2（6.0m）-U52*41*2.0</t>
    <phoneticPr fontId="22" type="noConversion"/>
  </si>
  <si>
    <t>拉条-拉条U42*41*2.0mm</t>
    <phoneticPr fontId="22" type="noConversion"/>
  </si>
  <si>
    <t>立柱2(0.67m)-U42*41*2.0</t>
    <phoneticPr fontId="22" type="noConversion"/>
  </si>
  <si>
    <t>立柱3(1.005m)-U42*41*2.0</t>
    <phoneticPr fontId="22" type="noConversion"/>
  </si>
  <si>
    <t>立柱4(1.335m)-U42*41*2.0</t>
    <phoneticPr fontId="22" type="noConversion"/>
  </si>
  <si>
    <t>檩条3（5.73m）-U52*41*2.0</t>
    <phoneticPr fontId="22" type="noConversion"/>
  </si>
  <si>
    <t>檩条4（4.58m）-U52*41*2.0</t>
    <phoneticPr fontId="22" type="noConversion"/>
  </si>
  <si>
    <t>6mm厚立柱钢底板+U型底座</t>
    <phoneticPr fontId="22" type="noConversion"/>
  </si>
  <si>
    <t>工厂加工U型底座与底板中心焊接</t>
    <phoneticPr fontId="22" type="noConversion"/>
  </si>
  <si>
    <t>用于转角连接件与立柱的固定</t>
    <phoneticPr fontId="22" type="noConversion"/>
  </si>
  <si>
    <t>用于立柱与U型底座连接件的固定</t>
    <phoneticPr fontId="22" type="noConversion"/>
  </si>
  <si>
    <t>檩条4（2.26m）-U52*41*2.0</t>
    <phoneticPr fontId="22" type="noConversion"/>
  </si>
  <si>
    <r>
      <t>3、钢构件采用除锈后（等级Sa2.5或St3），采用热浸镀锌防腐，1.5≤钢厚度＜6,镀锌平均厚度75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m且满足25年防腐，见图纸。</t>
    </r>
    <phoneticPr fontId="22" type="noConversion"/>
  </si>
  <si>
    <t>180x100x6</t>
    <phoneticPr fontId="22" type="noConversion"/>
  </si>
  <si>
    <r>
      <t xml:space="preserve">系杆XG1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65*2.0，连接板工厂焊接  中心距</t>
    </r>
    <phoneticPr fontId="22" type="noConversion"/>
  </si>
  <si>
    <t>檩托-165*90*10，与主梁工厂一同焊接</t>
    <phoneticPr fontId="22" type="noConversion"/>
  </si>
  <si>
    <t>内天沟支撑檩条檩托-165*90*10</t>
    <phoneticPr fontId="22" type="noConversion"/>
  </si>
  <si>
    <t>外天沟支撑檩条檩托-165*90*10</t>
    <phoneticPr fontId="22" type="noConversion"/>
  </si>
  <si>
    <t>内天沟支撑檩条-C160X60X20X2.0</t>
    <phoneticPr fontId="22" type="noConversion"/>
  </si>
  <si>
    <t>外天沟支撑檩条-C160X60X20X2.0</t>
    <phoneticPr fontId="22" type="noConversion"/>
  </si>
  <si>
    <t>调整尺寸为 L165*90*10</t>
    <phoneticPr fontId="22" type="noConversion"/>
  </si>
  <si>
    <t>工程名称：咸宁浮法二期13MWp分布式光伏发电项目（大停车场）</t>
    <phoneticPr fontId="22" type="noConversion"/>
  </si>
  <si>
    <t>5排车棚钢架（柱：口120*120*3、梁：口160*80*4），包括底板-250*250*16、柱底加劲板4-65x130x6，梁封口板2-160*80*6/榀</t>
    <phoneticPr fontId="22" type="noConversion"/>
  </si>
  <si>
    <t>梁5.6m,立柱2.8m+3.2m,立柱顶开槽2/3梁高</t>
    <phoneticPr fontId="22" type="noConversion"/>
  </si>
  <si>
    <t>2排车棚钢架（柱：口120*120*3、梁：口160*80*4、斜撑：口120*120*3），包括底板-250*250*16、柱底加劲板4-65x130x6，梁封口板2-160*80*6/榀</t>
    <phoneticPr fontId="22" type="noConversion"/>
  </si>
  <si>
    <t>梁2.3m,立柱2.8m,斜撑1.489+1.148，,立柱顶开槽2/3梁高</t>
    <phoneticPr fontId="22" type="noConversion"/>
  </si>
  <si>
    <t>底板+柱脚加劲肋+垫板</t>
    <phoneticPr fontId="22" type="noConversion"/>
  </si>
  <si>
    <t>檩条:C160X70X20X3.0</t>
    <phoneticPr fontId="22" type="noConversion"/>
  </si>
  <si>
    <t>檩托-80*160*6，与主梁工厂一同焊接</t>
    <phoneticPr fontId="22" type="noConversion"/>
  </si>
  <si>
    <t>梁封口板80*160*6</t>
    <phoneticPr fontId="22" type="noConversion"/>
  </si>
  <si>
    <r>
      <t>撑杆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32x2.0</t>
    </r>
    <phoneticPr fontId="22" type="noConversion"/>
  </si>
  <si>
    <r>
      <rPr>
        <sz val="10"/>
        <color theme="1"/>
        <rFont val="Calibri"/>
        <family val="3"/>
        <charset val="161"/>
      </rPr>
      <t>φ</t>
    </r>
    <r>
      <rPr>
        <sz val="10"/>
        <color theme="1"/>
        <rFont val="宋体"/>
        <family val="3"/>
        <charset val="134"/>
      </rPr>
      <t>12拉杆斜拉杆（配(一根配4平4母，两端螺纹长度160)）</t>
    </r>
    <phoneticPr fontId="22" type="noConversion"/>
  </si>
  <si>
    <t>檩托螺栓</t>
    <phoneticPr fontId="22" type="noConversion"/>
  </si>
  <si>
    <t>φ12直拉杆（配(一根配4平4母，两端螺纹长度110)）</t>
    <phoneticPr fontId="22" type="noConversion"/>
  </si>
  <si>
    <t>不锈钢内六角螺栓M8*30</t>
    <phoneticPr fontId="22" type="noConversion"/>
  </si>
  <si>
    <t>压块连接板</t>
    <phoneticPr fontId="22" type="noConversion"/>
  </si>
  <si>
    <t>压块连接板两侧自攻自钻螺栓</t>
    <phoneticPr fontId="22" type="noConversion"/>
  </si>
  <si>
    <t>M导水槽M200*60*1.2</t>
    <phoneticPr fontId="22" type="noConversion"/>
  </si>
  <si>
    <t>S350GD+SUS410+EPDM</t>
  </si>
  <si>
    <t>ST6.3*16 配胶垫</t>
    <phoneticPr fontId="22" type="noConversion"/>
  </si>
  <si>
    <t>根</t>
    <phoneticPr fontId="22" type="noConversion"/>
  </si>
  <si>
    <t>横向导水槽 84*25*1.2</t>
    <phoneticPr fontId="22" type="noConversion"/>
  </si>
  <si>
    <t>S250GD</t>
    <phoneticPr fontId="22" type="noConversion"/>
  </si>
  <si>
    <t>檐沟（展开面543mm*1mm）</t>
    <phoneticPr fontId="22" type="noConversion"/>
  </si>
  <si>
    <t>天沟（展开面655mm*1mm）</t>
    <phoneticPr fontId="22" type="noConversion"/>
  </si>
  <si>
    <t>sus310</t>
    <phoneticPr fontId="22" type="noConversion"/>
  </si>
  <si>
    <t>sus311</t>
  </si>
  <si>
    <t>檐沟托架-角钢 L50mm*5mm拼接(展开长度550mm)</t>
    <phoneticPr fontId="22" type="noConversion"/>
  </si>
  <si>
    <t>天沟托架-角钢 L50mm*5mm拼接(展开长度490mm)</t>
    <phoneticPr fontId="22" type="noConversion"/>
  </si>
  <si>
    <t>檐沟、天沟固定自攻自钻螺栓</t>
    <phoneticPr fontId="22" type="noConversion"/>
  </si>
  <si>
    <t>天沟固定钉</t>
    <phoneticPr fontId="22" type="noConversion"/>
  </si>
  <si>
    <t>M型导水槽固定自攻自钻螺栓</t>
    <phoneticPr fontId="22" type="noConversion"/>
  </si>
  <si>
    <t>板中支撑 U41*62*2.0</t>
    <phoneticPr fontId="22" type="noConversion"/>
  </si>
  <si>
    <t>S350D</t>
    <phoneticPr fontId="22" type="noConversion"/>
  </si>
  <si>
    <t>PP</t>
    <phoneticPr fontId="22" type="noConversion"/>
  </si>
  <si>
    <t>盖板（胶条）</t>
    <phoneticPr fontId="22" type="noConversion"/>
  </si>
  <si>
    <t>橡胶条 -30*5</t>
    <phoneticPr fontId="22" type="noConversion"/>
  </si>
  <si>
    <t>EPDM</t>
    <phoneticPr fontId="22" type="noConversion"/>
  </si>
  <si>
    <r>
      <t xml:space="preserve">落水管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90</t>
    </r>
    <phoneticPr fontId="22" type="noConversion"/>
  </si>
  <si>
    <t>PVC</t>
    <phoneticPr fontId="22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</si>
  <si>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8</t>
    </r>
    <phoneticPr fontId="22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</si>
  <si>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12</t>
    </r>
    <phoneticPr fontId="22" type="noConversion"/>
  </si>
  <si>
    <r>
      <t xml:space="preserve">基础钢筋 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>16</t>
    </r>
    <phoneticPr fontId="22" type="noConversion"/>
  </si>
  <si>
    <t>C30</t>
    <phoneticPr fontId="22" type="noConversion"/>
  </si>
  <si>
    <t>C30基础混凝土(短柱+基础)</t>
    <phoneticPr fontId="22" type="noConversion"/>
  </si>
  <si>
    <t>C15基础混凝土（混凝土包脚+混凝土垫层）</t>
    <phoneticPr fontId="22" type="noConversion"/>
  </si>
  <si>
    <t>HRB400</t>
    <phoneticPr fontId="22" type="noConversion"/>
  </si>
  <si>
    <t>米</t>
    <phoneticPr fontId="22" type="noConversion"/>
  </si>
  <si>
    <t>立方米</t>
    <phoneticPr fontId="22" type="noConversion"/>
  </si>
  <si>
    <t>C15</t>
    <phoneticPr fontId="22" type="noConversion"/>
  </si>
  <si>
    <t>地脚螺栓M20*500（配2大螺母）</t>
    <phoneticPr fontId="22" type="noConversion"/>
  </si>
  <si>
    <t xml:space="preserve">                                   结构部分（支架）清单                                   日期：20240315</t>
    <phoneticPr fontId="22" type="noConversion"/>
  </si>
  <si>
    <t>直立锁边夹具</t>
    <phoneticPr fontId="22" type="noConversion"/>
  </si>
  <si>
    <t>立柱L50*5角铝</t>
    <phoneticPr fontId="22" type="noConversion"/>
  </si>
  <si>
    <t>斜撑L50*5角铝</t>
    <phoneticPr fontId="22" type="noConversion"/>
  </si>
  <si>
    <t>夹具与角铝连接件连接螺栓</t>
    <phoneticPr fontId="22" type="noConversion"/>
  </si>
  <si>
    <t>连接件L50*5角铝</t>
    <phoneticPr fontId="22" type="noConversion"/>
  </si>
  <si>
    <t>AL6005-T5</t>
    <phoneticPr fontId="22" type="noConversion"/>
  </si>
  <si>
    <t>横梁L50*5角铝</t>
    <phoneticPr fontId="22" type="noConversion"/>
  </si>
  <si>
    <t>立柱斜撑横梁连接螺栓</t>
    <phoneticPr fontId="22" type="noConversion"/>
  </si>
  <si>
    <t>围栏长度</t>
    <phoneticPr fontId="22" type="noConversion"/>
  </si>
  <si>
    <t>夹具侧面连接螺栓</t>
    <phoneticPr fontId="22" type="noConversion"/>
  </si>
  <si>
    <t>钢结构Z型楼梯</t>
    <phoneticPr fontId="22" type="noConversion"/>
  </si>
  <si>
    <t>钢立柱 H350X200X8X12</t>
    <phoneticPr fontId="22" type="noConversion"/>
  </si>
  <si>
    <t>平台梁 H194X150X6X9</t>
    <phoneticPr fontId="22" type="noConversion"/>
  </si>
  <si>
    <t>平台板梁  [10槽钢</t>
    <phoneticPr fontId="22" type="noConversion"/>
  </si>
  <si>
    <t>平台板 1200*5厚花纹钢板</t>
    <phoneticPr fontId="22" type="noConversion"/>
  </si>
  <si>
    <t>顶层平台板 1200*5厚花纹钢板</t>
    <phoneticPr fontId="22" type="noConversion"/>
  </si>
  <si>
    <t>梯梁 [20a槽钢</t>
    <phoneticPr fontId="22" type="noConversion"/>
  </si>
  <si>
    <t>踏步板 Z262.8*95*5厚花纹钢板</t>
    <phoneticPr fontId="22" type="noConversion"/>
  </si>
  <si>
    <t>第一跑梯梁  [20a槽钢</t>
    <phoneticPr fontId="22" type="noConversion"/>
  </si>
  <si>
    <t>第一跑踏步板 Z262.8*95*5厚花纹钢板</t>
    <phoneticPr fontId="22" type="noConversion"/>
  </si>
  <si>
    <t>钢柱加劲板 -100x12</t>
    <phoneticPr fontId="22" type="noConversion"/>
  </si>
  <si>
    <t>垫板 -70x4</t>
    <phoneticPr fontId="22" type="noConversion"/>
  </si>
  <si>
    <t>钢柱底板 -400x20</t>
    <phoneticPr fontId="22" type="noConversion"/>
  </si>
  <si>
    <t>地脚螺栓 M24x820</t>
    <phoneticPr fontId="22" type="noConversion"/>
  </si>
  <si>
    <t>梯梁锚板 -200x16+6</t>
    <phoneticPr fontId="22" type="noConversion"/>
  </si>
  <si>
    <r>
      <t xml:space="preserve">梯梁锚板根  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  <scheme val="minor"/>
      </rPr>
      <t>8</t>
    </r>
    <phoneticPr fontId="22" type="noConversion"/>
  </si>
  <si>
    <r>
      <t xml:space="preserve">扶手 </t>
    </r>
    <r>
      <rPr>
        <sz val="11"/>
        <rFont val="Calibri"/>
        <family val="3"/>
        <charset val="161"/>
      </rPr>
      <t>φ</t>
    </r>
    <r>
      <rPr>
        <sz val="11"/>
        <rFont val="宋体"/>
        <family val="3"/>
        <charset val="134"/>
      </rPr>
      <t>50x3</t>
    </r>
    <phoneticPr fontId="22" type="noConversion"/>
  </si>
  <si>
    <r>
      <t xml:space="preserve">横杆 </t>
    </r>
    <r>
      <rPr>
        <sz val="11"/>
        <rFont val="Calibri"/>
        <family val="3"/>
        <charset val="161"/>
      </rPr>
      <t>φ</t>
    </r>
    <r>
      <rPr>
        <sz val="11"/>
        <rFont val="宋体"/>
        <family val="3"/>
        <charset val="134"/>
      </rPr>
      <t>30x3</t>
    </r>
    <phoneticPr fontId="22" type="noConversion"/>
  </si>
  <si>
    <r>
      <t xml:space="preserve">立柱 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  <scheme val="minor"/>
      </rPr>
      <t>50x3</t>
    </r>
    <phoneticPr fontId="22" type="noConversion"/>
  </si>
  <si>
    <t>踢脚 -100x3</t>
    <phoneticPr fontId="22" type="noConversion"/>
  </si>
  <si>
    <t>延伸进立柱，与立柱交叉</t>
  </si>
  <si>
    <t>配套大平垫、弹垫、双螺母</t>
  </si>
  <si>
    <t>块</t>
    <phoneticPr fontId="22" type="noConversion"/>
  </si>
  <si>
    <t>个</t>
    <phoneticPr fontId="22" type="noConversion"/>
  </si>
  <si>
    <t>套</t>
    <phoneticPr fontId="22" type="noConversion"/>
  </si>
  <si>
    <t>循环回跑数</t>
  </si>
  <si>
    <t>平台数</t>
  </si>
  <si>
    <r>
      <t>热镀锌厚度≥65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宋体"/>
        <family val="3"/>
        <charset val="134"/>
      </rPr>
      <t>m</t>
    </r>
    <phoneticPr fontId="22" type="noConversion"/>
  </si>
  <si>
    <t>5、边压码规、压码螺栓格匹配组件厚度，这里按组件厚度30mm,30边压统计，压码螺栓具体长度厂家配套</t>
    <phoneticPr fontId="22" type="noConversion"/>
  </si>
  <si>
    <t>基础钢筋 φ20</t>
    <phoneticPr fontId="22" type="noConversion"/>
  </si>
  <si>
    <t>一、</t>
    <phoneticPr fontId="22" type="noConversion"/>
  </si>
  <si>
    <t>二、</t>
    <phoneticPr fontId="22" type="noConversion"/>
  </si>
  <si>
    <t xml:space="preserve">                                            结构部分（支架）清单                                  日期：20240323</t>
    <phoneticPr fontId="22" type="noConversion"/>
  </si>
  <si>
    <t>工程名称：咸宁浮法二期13MWp分布式光伏发电项目（退火成型工段）</t>
    <phoneticPr fontId="22" type="noConversion"/>
  </si>
  <si>
    <t>切裁工段</t>
    <phoneticPr fontId="22" type="noConversion"/>
  </si>
  <si>
    <t>均化车间</t>
    <phoneticPr fontId="22" type="noConversion"/>
  </si>
  <si>
    <t>成品库</t>
    <phoneticPr fontId="22" type="noConversion"/>
  </si>
  <si>
    <t>工程名称：咸宁浮法二期13MWp分布式光伏发电项目（裁切工段）</t>
    <phoneticPr fontId="22" type="noConversion"/>
  </si>
  <si>
    <t>工程名称：咸宁浮法二期13MWp分布式光伏发电项目（成品工段）</t>
    <phoneticPr fontId="22" type="noConversion"/>
  </si>
  <si>
    <t>工程名称：咸宁浮法二期13MWp分布式光伏发电项目（均化车间）</t>
    <phoneticPr fontId="22" type="noConversion"/>
  </si>
  <si>
    <t>工程名称：咸宁浮法二期13MWp分布式光伏发电项目（成品库）</t>
    <phoneticPr fontId="22" type="noConversion"/>
  </si>
  <si>
    <t>不锈钢M8*30外六角螺栓</t>
    <phoneticPr fontId="22" type="noConversion"/>
  </si>
  <si>
    <t>不锈钢M8*30外六角螺栓</t>
    <phoneticPr fontId="22" type="noConversion"/>
  </si>
  <si>
    <r>
      <t>2、铝合金材质为:AL 6005-T5表面处理: 银白阳极氧化AA15，氧化厚度不小于15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m，钢材材质Q235B/Q355B,热浸镀锌处理，镀锌平均厚度≥65</t>
    </r>
    <r>
      <rPr>
        <b/>
        <sz val="11"/>
        <rFont val="Calibri"/>
        <family val="3"/>
        <charset val="161"/>
      </rPr>
      <t>μ</t>
    </r>
    <r>
      <rPr>
        <b/>
        <sz val="11"/>
        <rFont val="宋体"/>
        <family val="3"/>
        <charset val="134"/>
      </rPr>
      <t>m</t>
    </r>
    <r>
      <rPr>
        <b/>
        <sz val="11"/>
        <color rgb="FFFF0000"/>
        <rFont val="宋体"/>
        <family val="3"/>
        <charset val="134"/>
      </rPr>
      <t>。见施工图</t>
    </r>
    <phoneticPr fontId="22" type="noConversion"/>
  </si>
  <si>
    <t>热浸镀锌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</si>
</sst>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0.00_ "/>
    <numFmt numFmtId="179" formatCode="0.000_ "/>
    <numFmt numFmtId="180" formatCode="_ \¥* #,##0_ ;_ \¥* \-#,##0_ ;_ \¥* &quot;-&quot;_ ;_ @_ "/>
  </numFmts>
  <fonts count="41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2"/>
      <color rgb="FFFF0000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sz val="11"/>
      <color rgb="FF9C0006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Calibri"/>
      <family val="3"/>
      <charset val="161"/>
    </font>
    <font>
      <sz val="11"/>
      <color rgb="FF000000"/>
      <name val="Times New Roman"/>
      <family val="1"/>
    </font>
    <font>
      <sz val="10"/>
      <color theme="1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Calibri"/>
      <family val="3"/>
    </font>
    <font>
      <sz val="11"/>
      <color theme="1"/>
      <name val="Calibri"/>
      <family val="3"/>
      <charset val="161"/>
    </font>
    <font>
      <sz val="11"/>
      <color theme="1"/>
      <name val="宋体"/>
      <family val="3"/>
      <charset val="161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Calibri"/>
      <family val="3"/>
      <charset val="161"/>
    </font>
    <font>
      <sz val="10"/>
      <color theme="1"/>
      <name val="宋体"/>
      <family val="3"/>
      <charset val="161"/>
    </font>
    <font>
      <sz val="12"/>
      <name val="Calibri"/>
      <family val="3"/>
      <charset val="161"/>
    </font>
    <font>
      <sz val="11"/>
      <name val="Calibri"/>
      <family val="3"/>
      <charset val="161"/>
    </font>
    <font>
      <sz val="10"/>
      <color rgb="FFFF0000"/>
      <name val="Calibri"/>
      <family val="3"/>
      <charset val="161"/>
    </font>
    <font>
      <b/>
      <sz val="9"/>
      <color indexed="8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/>
    <xf numFmtId="0" fontId="5" fillId="7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76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/>
    </xf>
    <xf numFmtId="177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0" xfId="1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176" fontId="18" fillId="10" borderId="4" xfId="0" applyNumberFormat="1" applyFont="1" applyFill="1" applyBorder="1" applyAlignment="1">
      <alignment horizontal="center" vertical="center"/>
    </xf>
    <xf numFmtId="176" fontId="18" fillId="10" borderId="0" xfId="0" applyNumberFormat="1" applyFont="1" applyFill="1" applyAlignment="1">
      <alignment horizontal="center" vertical="center"/>
    </xf>
    <xf numFmtId="0" fontId="0" fillId="9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/>
    </xf>
    <xf numFmtId="176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7" fontId="3" fillId="0" borderId="0" xfId="0" applyNumberFormat="1" applyFont="1" applyAlignment="1"/>
    <xf numFmtId="0" fontId="8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176" fontId="3" fillId="1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2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9" fontId="28" fillId="4" borderId="1" xfId="2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7" borderId="0" xfId="0" applyFont="1" applyFill="1">
      <alignment vertical="center"/>
    </xf>
    <xf numFmtId="176" fontId="26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/>
    <xf numFmtId="0" fontId="28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4" fillId="6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176" fontId="28" fillId="5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3" fillId="0" borderId="0" xfId="0" applyFont="1" applyAlignment="1">
      <alignment horizontal="center"/>
    </xf>
    <xf numFmtId="176" fontId="3" fillId="1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/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32" fillId="4" borderId="1" xfId="2" applyNumberFormat="1" applyFont="1" applyFill="1" applyBorder="1" applyAlignment="1">
      <alignment horizontal="center" vertical="center"/>
    </xf>
    <xf numFmtId="179" fontId="32" fillId="4" borderId="1" xfId="2" applyNumberFormat="1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/>
    </xf>
    <xf numFmtId="179" fontId="16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  <xf numFmtId="0" fontId="2" fillId="0" borderId="1" xfId="0" applyFont="1" applyBorder="1">
      <alignment vertical="center"/>
    </xf>
    <xf numFmtId="176" fontId="3" fillId="1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8" fillId="5" borderId="0" xfId="0" applyFont="1" applyFill="1" applyAlignment="1">
      <alignment wrapText="1"/>
    </xf>
    <xf numFmtId="0" fontId="26" fillId="0" borderId="0" xfId="0" applyFont="1" applyAlignment="1">
      <alignment horizontal="center" vertical="center" wrapText="1"/>
    </xf>
    <xf numFmtId="177" fontId="2" fillId="0" borderId="9" xfId="0" applyNumberFormat="1" applyFont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76" fontId="4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13" borderId="1" xfId="0" applyFont="1" applyFill="1" applyBorder="1" applyAlignment="1">
      <alignment horizontal="left" vertical="center" wrapText="1"/>
    </xf>
    <xf numFmtId="177" fontId="2" fillId="13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77" fontId="33" fillId="0" borderId="1" xfId="0" applyNumberFormat="1" applyFont="1" applyBorder="1" applyAlignment="1">
      <alignment horizontal="left" vertical="center"/>
    </xf>
  </cellXfs>
  <cellStyles count="3">
    <cellStyle name="百分比" xfId="1" builtinId="5"/>
    <cellStyle name="差" xfId="2" builtinId="27"/>
    <cellStyle name="常规" xfId="0" builtinId="0"/>
  </cellStyles>
  <dxfs count="0"/>
  <tableStyles count="0" defaultTableStyle="TableStyleMedium2" defaultPivotStyle="PivotStyleLight16"/>
  <colors>
    <mruColors>
      <color rgb="FFFF66FF"/>
      <color rgb="FFFF0000"/>
      <color rgb="FFFF3399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72"/>
  <sheetViews>
    <sheetView zoomScaleNormal="100" zoomScaleSheetLayoutView="100" workbookViewId="0">
      <selection activeCell="B17" sqref="B17:N17"/>
    </sheetView>
  </sheetViews>
  <sheetFormatPr defaultColWidth="9" defaultRowHeight="13.5" x14ac:dyDescent="0.15"/>
  <cols>
    <col min="1" max="1" width="10.25" style="31" customWidth="1"/>
    <col min="2" max="2" width="38.25" style="32" bestFit="1" customWidth="1"/>
    <col min="3" max="3" width="14.75" style="33" customWidth="1"/>
    <col min="4" max="4" width="19.5" style="33" bestFit="1" customWidth="1"/>
    <col min="5" max="5" width="14.125" style="30" customWidth="1"/>
    <col min="6" max="6" width="8.75" style="30" customWidth="1"/>
    <col min="7" max="8" width="8.625" style="34" customWidth="1"/>
    <col min="9" max="9" width="13.5" style="34" customWidth="1"/>
    <col min="10" max="11" width="8.625" style="34" customWidth="1"/>
    <col min="12" max="12" width="15.375" style="30" customWidth="1"/>
    <col min="13" max="13" width="12.75" style="35" customWidth="1"/>
    <col min="14" max="14" width="15.375" style="31" customWidth="1"/>
    <col min="15" max="15" width="13.875" style="31" customWidth="1"/>
    <col min="16" max="16" width="12.625" style="31" customWidth="1"/>
    <col min="17" max="17" width="13.125" style="31" customWidth="1"/>
    <col min="18" max="18" width="16.875" style="31" customWidth="1"/>
    <col min="19" max="19" width="25.375" style="31" customWidth="1"/>
    <col min="20" max="20" width="12.5" style="31" customWidth="1"/>
    <col min="21" max="21" width="10.5" style="31" customWidth="1"/>
    <col min="22" max="22" width="9" style="31"/>
    <col min="23" max="23" width="16.375" style="31" customWidth="1"/>
    <col min="24" max="24" width="16.75" style="31" customWidth="1"/>
    <col min="25" max="25" width="9" style="31"/>
    <col min="26" max="26" width="18.625" style="31" customWidth="1"/>
    <col min="27" max="16384" width="9" style="31"/>
  </cols>
  <sheetData>
    <row r="1" spans="1:31" ht="18.75" x14ac:dyDescent="0.15">
      <c r="A1" s="192" t="s">
        <v>0</v>
      </c>
      <c r="B1" s="192"/>
      <c r="C1" s="192"/>
      <c r="D1" s="192"/>
      <c r="E1" s="192"/>
      <c r="F1" s="192"/>
      <c r="G1" s="193"/>
      <c r="H1" s="193"/>
      <c r="I1" s="193"/>
      <c r="J1" s="193"/>
      <c r="K1" s="193"/>
      <c r="L1" s="192"/>
      <c r="M1" s="194"/>
      <c r="N1" s="192"/>
      <c r="O1" s="42"/>
    </row>
    <row r="2" spans="1:31" x14ac:dyDescent="0.15">
      <c r="A2" s="195" t="s">
        <v>354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5"/>
      <c r="M2" s="197"/>
      <c r="N2" s="195"/>
      <c r="O2" s="11"/>
    </row>
    <row r="3" spans="1:31" x14ac:dyDescent="0.15">
      <c r="A3" s="198" t="s">
        <v>355</v>
      </c>
      <c r="B3" s="199"/>
      <c r="C3" s="199"/>
      <c r="D3" s="199"/>
      <c r="E3" s="199"/>
      <c r="F3" s="199"/>
      <c r="G3" s="198"/>
      <c r="H3" s="199"/>
      <c r="I3" s="199"/>
      <c r="J3" s="199"/>
      <c r="K3" s="199"/>
      <c r="L3" s="199"/>
      <c r="M3" s="199"/>
      <c r="N3" s="200"/>
      <c r="O3" s="12"/>
    </row>
    <row r="4" spans="1:31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3"/>
      <c r="P4" s="43"/>
    </row>
    <row r="5" spans="1:31" s="28" customFormat="1" ht="15" x14ac:dyDescent="0.15">
      <c r="A5" s="3" t="s">
        <v>352</v>
      </c>
      <c r="B5" s="36" t="s">
        <v>25</v>
      </c>
      <c r="C5" s="41"/>
      <c r="D5" s="41"/>
      <c r="E5" s="3"/>
      <c r="F5" s="4"/>
      <c r="G5" s="5"/>
      <c r="H5" s="5"/>
      <c r="I5" s="5"/>
      <c r="J5" s="5"/>
      <c r="K5" s="5"/>
      <c r="L5" s="47"/>
      <c r="M5" s="15"/>
      <c r="N5" s="16"/>
      <c r="O5" s="49"/>
      <c r="P5" s="167" t="s">
        <v>320</v>
      </c>
      <c r="Q5" s="18"/>
      <c r="R5" s="18"/>
      <c r="S5" s="18"/>
      <c r="T5" s="31">
        <v>71019</v>
      </c>
      <c r="U5" s="24"/>
      <c r="V5" s="18"/>
      <c r="W5" s="18"/>
      <c r="X5" s="23"/>
      <c r="Y5" s="24"/>
      <c r="Z5" s="23"/>
      <c r="AA5" s="18"/>
      <c r="AB5"/>
      <c r="AC5"/>
      <c r="AD5"/>
      <c r="AE5"/>
    </row>
    <row r="6" spans="1:31" s="28" customFormat="1" ht="15" x14ac:dyDescent="0.15">
      <c r="A6" s="73">
        <v>1</v>
      </c>
      <c r="B6" s="73" t="s">
        <v>313</v>
      </c>
      <c r="C6" s="77">
        <v>1100</v>
      </c>
      <c r="D6" s="74" t="s">
        <v>317</v>
      </c>
      <c r="E6" s="38" t="s">
        <v>14</v>
      </c>
      <c r="F6" s="73" t="s">
        <v>18</v>
      </c>
      <c r="G6" s="185">
        <f>(P6/1.94)</f>
        <v>59.27835051546392</v>
      </c>
      <c r="H6" s="75">
        <v>0</v>
      </c>
      <c r="I6" s="75">
        <f>G6+H6</f>
        <v>59.27835051546392</v>
      </c>
      <c r="J6" s="75"/>
      <c r="K6" s="75"/>
      <c r="L6" s="182">
        <v>1.385</v>
      </c>
      <c r="M6" s="15">
        <f t="shared" ref="M6:M8" si="0">C6*G6*L6/1000</f>
        <v>90.310567010309285</v>
      </c>
      <c r="N6" s="180"/>
      <c r="O6" s="205"/>
      <c r="P6" s="167">
        <v>115</v>
      </c>
      <c r="Q6" s="18"/>
      <c r="R6" s="18"/>
      <c r="S6" s="18"/>
      <c r="T6" s="31">
        <v>71019</v>
      </c>
      <c r="U6" s="24"/>
      <c r="V6" s="18"/>
      <c r="W6" s="18"/>
      <c r="X6" s="23"/>
      <c r="Y6" s="24"/>
      <c r="Z6" s="23"/>
      <c r="AA6" s="18"/>
      <c r="AB6"/>
      <c r="AC6"/>
      <c r="AD6"/>
      <c r="AE6"/>
    </row>
    <row r="7" spans="1:31" s="28" customFormat="1" ht="15" x14ac:dyDescent="0.15">
      <c r="A7" s="73">
        <v>2</v>
      </c>
      <c r="B7" s="73" t="s">
        <v>314</v>
      </c>
      <c r="C7" s="77">
        <v>950</v>
      </c>
      <c r="D7" s="74" t="s">
        <v>317</v>
      </c>
      <c r="E7" s="38" t="s">
        <v>14</v>
      </c>
      <c r="F7" s="73" t="s">
        <v>18</v>
      </c>
      <c r="G7" s="185">
        <f>G6</f>
        <v>59.27835051546392</v>
      </c>
      <c r="H7" s="75">
        <v>0</v>
      </c>
      <c r="I7" s="75">
        <f t="shared" ref="I7:I13" si="1">G7+H7</f>
        <v>59.27835051546392</v>
      </c>
      <c r="J7" s="75"/>
      <c r="K7" s="75"/>
      <c r="L7" s="182">
        <v>1.385</v>
      </c>
      <c r="M7" s="15">
        <f t="shared" si="0"/>
        <v>77.995489690721641</v>
      </c>
      <c r="N7" s="180"/>
      <c r="O7" s="205"/>
      <c r="Q7" s="18"/>
      <c r="R7" s="18"/>
      <c r="S7" s="18"/>
      <c r="T7" s="31">
        <v>71019</v>
      </c>
      <c r="U7" s="24"/>
      <c r="V7" s="18"/>
      <c r="W7" s="18"/>
      <c r="X7" s="23"/>
      <c r="Y7" s="24"/>
      <c r="Z7" s="23"/>
      <c r="AA7" s="18"/>
      <c r="AB7"/>
      <c r="AC7"/>
      <c r="AD7"/>
      <c r="AE7"/>
    </row>
    <row r="8" spans="1:31" s="28" customFormat="1" ht="15" x14ac:dyDescent="0.15">
      <c r="A8" s="73">
        <v>3</v>
      </c>
      <c r="B8" s="73" t="s">
        <v>316</v>
      </c>
      <c r="C8" s="77">
        <v>60</v>
      </c>
      <c r="D8" s="74" t="s">
        <v>317</v>
      </c>
      <c r="E8" s="38" t="s">
        <v>14</v>
      </c>
      <c r="F8" s="73" t="s">
        <v>18</v>
      </c>
      <c r="G8" s="185">
        <f>G6*2</f>
        <v>118.55670103092784</v>
      </c>
      <c r="H8" s="75">
        <v>0</v>
      </c>
      <c r="I8" s="75">
        <f t="shared" si="1"/>
        <v>118.55670103092784</v>
      </c>
      <c r="J8" s="75"/>
      <c r="K8" s="75"/>
      <c r="L8" s="182">
        <v>1.385</v>
      </c>
      <c r="M8" s="15">
        <f t="shared" si="0"/>
        <v>9.8520618556701045</v>
      </c>
      <c r="N8" s="180"/>
      <c r="O8" s="205"/>
      <c r="Q8" s="18"/>
      <c r="R8" s="18"/>
      <c r="S8" s="18"/>
      <c r="T8" s="31">
        <v>71019</v>
      </c>
      <c r="U8" s="24"/>
      <c r="V8" s="18"/>
      <c r="W8" s="18"/>
      <c r="X8" s="23"/>
      <c r="Y8" s="24"/>
      <c r="Z8" s="23"/>
      <c r="AA8" s="18"/>
      <c r="AB8"/>
      <c r="AC8"/>
      <c r="AD8"/>
      <c r="AE8"/>
    </row>
    <row r="9" spans="1:31" s="28" customFormat="1" ht="15" x14ac:dyDescent="0.15">
      <c r="A9" s="3">
        <v>4</v>
      </c>
      <c r="B9" s="4" t="s">
        <v>312</v>
      </c>
      <c r="C9" s="3">
        <v>50</v>
      </c>
      <c r="D9" s="74" t="s">
        <v>317</v>
      </c>
      <c r="E9" s="38" t="s">
        <v>14</v>
      </c>
      <c r="F9" s="3" t="s">
        <v>17</v>
      </c>
      <c r="G9" s="185">
        <f>G6*2</f>
        <v>118.55670103092784</v>
      </c>
      <c r="H9" s="39">
        <f>G9*0.003</f>
        <v>0.35567010309278352</v>
      </c>
      <c r="I9" s="5">
        <f t="shared" si="1"/>
        <v>118.91237113402062</v>
      </c>
      <c r="J9" s="5"/>
      <c r="K9" s="5"/>
      <c r="L9" s="44">
        <f>2.31*0.05</f>
        <v>0.11550000000000001</v>
      </c>
      <c r="M9" s="15">
        <f>G9*L9</f>
        <v>13.693298969072167</v>
      </c>
      <c r="N9" s="46"/>
      <c r="O9" s="205"/>
      <c r="Q9" s="18"/>
      <c r="R9" s="18"/>
      <c r="S9" s="18"/>
      <c r="T9" s="31"/>
      <c r="U9" s="24"/>
      <c r="V9" s="18"/>
      <c r="W9" s="18"/>
      <c r="X9" s="23"/>
      <c r="Y9" s="24"/>
      <c r="Z9" s="23"/>
      <c r="AA9" s="18"/>
      <c r="AB9"/>
      <c r="AC9"/>
      <c r="AD9"/>
      <c r="AE9"/>
    </row>
    <row r="10" spans="1:31" s="28" customFormat="1" ht="15" x14ac:dyDescent="0.15">
      <c r="A10" s="3">
        <v>5</v>
      </c>
      <c r="B10" s="40" t="s">
        <v>364</v>
      </c>
      <c r="C10" s="190" t="s">
        <v>66</v>
      </c>
      <c r="D10" s="191"/>
      <c r="E10" s="3" t="s">
        <v>20</v>
      </c>
      <c r="F10" s="3" t="s">
        <v>17</v>
      </c>
      <c r="G10" s="185">
        <f>G9*2</f>
        <v>237.11340206185568</v>
      </c>
      <c r="H10" s="39">
        <f t="shared" ref="H10:H12" si="2">G10*0.003</f>
        <v>0.71134020618556704</v>
      </c>
      <c r="I10" s="5">
        <f t="shared" ref="I10" si="3">G10+H10</f>
        <v>237.82474226804123</v>
      </c>
      <c r="J10" s="5"/>
      <c r="K10" s="5"/>
      <c r="L10" s="22">
        <f>0.016+0.004+0.002+0.0004</f>
        <v>2.24E-2</v>
      </c>
      <c r="M10" s="15">
        <f>G10*L10</f>
        <v>5.3113402061855668</v>
      </c>
      <c r="N10" s="37" t="s">
        <v>321</v>
      </c>
      <c r="O10" s="205"/>
      <c r="Q10" s="18"/>
      <c r="R10" s="18"/>
      <c r="S10" s="18"/>
      <c r="T10" s="31"/>
      <c r="U10" s="24"/>
      <c r="V10" s="18"/>
      <c r="W10" s="18"/>
      <c r="X10" s="23"/>
      <c r="Y10" s="24"/>
      <c r="Z10" s="23"/>
      <c r="AA10" s="18"/>
      <c r="AB10"/>
      <c r="AC10"/>
      <c r="AD10"/>
      <c r="AE10"/>
    </row>
    <row r="11" spans="1:31" s="28" customFormat="1" ht="24" x14ac:dyDescent="0.15">
      <c r="A11" s="3">
        <v>5</v>
      </c>
      <c r="B11" s="40" t="s">
        <v>363</v>
      </c>
      <c r="C11" s="190" t="s">
        <v>66</v>
      </c>
      <c r="D11" s="191"/>
      <c r="E11" s="3" t="s">
        <v>20</v>
      </c>
      <c r="F11" s="3" t="s">
        <v>17</v>
      </c>
      <c r="G11" s="185">
        <f>G9</f>
        <v>118.55670103092784</v>
      </c>
      <c r="H11" s="39">
        <v>2</v>
      </c>
      <c r="I11" s="5">
        <f t="shared" si="1"/>
        <v>120.55670103092784</v>
      </c>
      <c r="J11" s="5"/>
      <c r="K11" s="5"/>
      <c r="L11" s="22">
        <f t="shared" ref="L11:L12" si="4">0.016+0.004+0.002+0.0004</f>
        <v>2.24E-2</v>
      </c>
      <c r="M11" s="15">
        <f>G11*L11</f>
        <v>2.6556701030927834</v>
      </c>
      <c r="N11" s="37" t="s">
        <v>315</v>
      </c>
      <c r="O11" s="205"/>
      <c r="Q11" s="18"/>
      <c r="R11" s="18"/>
      <c r="S11" s="18"/>
      <c r="T11" s="31"/>
      <c r="U11" s="24"/>
      <c r="V11" s="18"/>
      <c r="W11" s="18"/>
      <c r="X11" s="23"/>
      <c r="Y11" s="24"/>
      <c r="Z11" s="23"/>
      <c r="AA11" s="18"/>
      <c r="AB11"/>
      <c r="AC11"/>
      <c r="AD11"/>
      <c r="AE11"/>
    </row>
    <row r="12" spans="1:31" s="28" customFormat="1" ht="24" x14ac:dyDescent="0.15">
      <c r="A12" s="3">
        <v>6</v>
      </c>
      <c r="B12" s="40" t="s">
        <v>363</v>
      </c>
      <c r="C12" s="225" t="s">
        <v>22</v>
      </c>
      <c r="D12" s="226"/>
      <c r="E12" s="3" t="s">
        <v>20</v>
      </c>
      <c r="F12" s="3" t="s">
        <v>17</v>
      </c>
      <c r="G12" s="185">
        <f>G6*4</f>
        <v>237.11340206185568</v>
      </c>
      <c r="H12" s="39">
        <f t="shared" si="2"/>
        <v>0.71134020618556704</v>
      </c>
      <c r="I12" s="5">
        <f t="shared" si="1"/>
        <v>237.82474226804123</v>
      </c>
      <c r="J12" s="5"/>
      <c r="K12" s="5"/>
      <c r="L12" s="22">
        <f t="shared" si="4"/>
        <v>2.24E-2</v>
      </c>
      <c r="M12" s="15">
        <f>G12*L12</f>
        <v>5.3113402061855668</v>
      </c>
      <c r="N12" s="37" t="s">
        <v>319</v>
      </c>
      <c r="O12" s="205"/>
      <c r="Q12" s="18"/>
      <c r="R12" s="18"/>
      <c r="S12" s="18"/>
      <c r="T12" s="31"/>
      <c r="U12" s="24"/>
      <c r="V12" s="18"/>
      <c r="W12" s="18"/>
      <c r="X12" s="23"/>
      <c r="Y12" s="24"/>
      <c r="Z12" s="23"/>
      <c r="AA12" s="18"/>
      <c r="AB12"/>
      <c r="AC12"/>
      <c r="AD12"/>
      <c r="AE12"/>
    </row>
    <row r="13" spans="1:31" s="28" customFormat="1" ht="15" x14ac:dyDescent="0.15">
      <c r="A13" s="73">
        <v>7</v>
      </c>
      <c r="B13" s="76" t="s">
        <v>318</v>
      </c>
      <c r="C13" s="77">
        <v>6000</v>
      </c>
      <c r="D13" s="74" t="s">
        <v>317</v>
      </c>
      <c r="E13" s="38" t="s">
        <v>14</v>
      </c>
      <c r="F13" s="73" t="s">
        <v>18</v>
      </c>
      <c r="G13" s="185">
        <f>P6/6*3</f>
        <v>57.5</v>
      </c>
      <c r="H13" s="75">
        <v>1</v>
      </c>
      <c r="I13" s="75">
        <f t="shared" si="1"/>
        <v>58.5</v>
      </c>
      <c r="J13" s="75"/>
      <c r="K13" s="75"/>
      <c r="L13" s="182">
        <v>1.385</v>
      </c>
      <c r="M13" s="78">
        <f>G13*L13</f>
        <v>79.637500000000003</v>
      </c>
      <c r="N13" s="175"/>
      <c r="O13" s="205"/>
      <c r="Q13" s="18"/>
      <c r="R13" s="18"/>
      <c r="S13" s="18"/>
      <c r="T13" s="31"/>
      <c r="U13" s="24"/>
      <c r="V13" s="18"/>
      <c r="W13" s="18"/>
      <c r="X13" s="23"/>
      <c r="Y13" s="24"/>
      <c r="Z13" s="23"/>
      <c r="AA13" s="18"/>
      <c r="AB13"/>
      <c r="AC13"/>
      <c r="AD13"/>
      <c r="AE13"/>
    </row>
    <row r="14" spans="1:31" s="28" customFormat="1" ht="15" x14ac:dyDescent="0.15">
      <c r="A14" s="3"/>
      <c r="B14" s="4" t="s">
        <v>23</v>
      </c>
      <c r="C14" s="41"/>
      <c r="D14" s="41"/>
      <c r="E14" s="38"/>
      <c r="F14" s="4"/>
      <c r="G14" s="5"/>
      <c r="H14" s="5"/>
      <c r="I14" s="5"/>
      <c r="J14" s="5"/>
      <c r="K14" s="5"/>
      <c r="L14" s="47"/>
      <c r="M14" s="48">
        <f>SUM(M6:M13)</f>
        <v>284.76726804123712</v>
      </c>
      <c r="N14" s="16"/>
      <c r="O14" s="49"/>
      <c r="Q14" s="18"/>
      <c r="R14" s="18"/>
      <c r="S14" s="18">
        <v>57452</v>
      </c>
      <c r="T14" s="31">
        <v>76794</v>
      </c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31" x14ac:dyDescent="0.15">
      <c r="A15" s="8" t="s">
        <v>27</v>
      </c>
      <c r="B15" s="210" t="s">
        <v>28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2"/>
    </row>
    <row r="16" spans="1:31" x14ac:dyDescent="0.15">
      <c r="A16" s="8"/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5"/>
    </row>
    <row r="17" spans="1:20" ht="39" customHeight="1" x14ac:dyDescent="0.15">
      <c r="A17" s="53"/>
      <c r="B17" s="216" t="s">
        <v>365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7"/>
      <c r="N17" s="216"/>
    </row>
    <row r="18" spans="1:20" x14ac:dyDescent="0.15">
      <c r="A18" s="9"/>
      <c r="B18" s="218" t="s">
        <v>29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20"/>
    </row>
    <row r="19" spans="1:20" x14ac:dyDescent="0.15">
      <c r="A19" s="9"/>
      <c r="B19" s="218" t="s">
        <v>68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20"/>
    </row>
    <row r="20" spans="1:20" x14ac:dyDescent="0.15">
      <c r="A20" s="9"/>
      <c r="B20" s="221" t="s">
        <v>350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3"/>
      <c r="N20" s="224"/>
    </row>
    <row r="21" spans="1:20" x14ac:dyDescent="0.15">
      <c r="A21" s="206" t="s">
        <v>30</v>
      </c>
      <c r="B21" s="201"/>
      <c r="C21" s="203" t="s">
        <v>31</v>
      </c>
      <c r="D21" s="208"/>
      <c r="E21" s="208"/>
      <c r="F21" s="208"/>
      <c r="G21" s="201"/>
      <c r="H21" s="210" t="s">
        <v>32</v>
      </c>
      <c r="I21" s="211"/>
      <c r="J21" s="211"/>
      <c r="K21" s="211"/>
      <c r="L21" s="211"/>
      <c r="M21" s="211"/>
      <c r="N21" s="212"/>
    </row>
    <row r="22" spans="1:20" x14ac:dyDescent="0.15">
      <c r="A22" s="207"/>
      <c r="B22" s="202"/>
      <c r="C22" s="204"/>
      <c r="D22" s="209"/>
      <c r="E22" s="209"/>
      <c r="F22" s="209"/>
      <c r="G22" s="202"/>
      <c r="H22" s="213"/>
      <c r="I22" s="214"/>
      <c r="J22" s="214"/>
      <c r="K22" s="214"/>
      <c r="L22" s="214"/>
      <c r="M22" s="214"/>
      <c r="N22" s="215"/>
    </row>
    <row r="23" spans="1:20" x14ac:dyDescent="0.15">
      <c r="A23" s="183" t="s">
        <v>33</v>
      </c>
      <c r="B23" s="54"/>
      <c r="C23" s="10" t="s">
        <v>34</v>
      </c>
      <c r="D23" s="187"/>
      <c r="E23" s="187"/>
      <c r="F23" s="187"/>
      <c r="G23" s="188"/>
      <c r="H23" s="189"/>
      <c r="I23" s="187"/>
      <c r="J23" s="187"/>
      <c r="K23" s="187"/>
      <c r="L23" s="187"/>
      <c r="M23" s="187"/>
      <c r="N23" s="188"/>
      <c r="T23" s="31" t="e">
        <f>#REF!+#REF!</f>
        <v>#REF!</v>
      </c>
    </row>
    <row r="24" spans="1:20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x14ac:dyDescent="0.15">
      <c r="A25" s="23"/>
      <c r="B25" s="55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31" spans="1:20" ht="14.25" x14ac:dyDescent="0.15">
      <c r="S31" s="67"/>
      <c r="T31" s="67"/>
    </row>
    <row r="34" spans="2:18" hidden="1" x14ac:dyDescent="0.15">
      <c r="O34" s="62" t="s">
        <v>35</v>
      </c>
      <c r="P34" s="62" t="s">
        <v>36</v>
      </c>
      <c r="Q34" s="27"/>
      <c r="R34" s="70" t="s">
        <v>37</v>
      </c>
    </row>
    <row r="35" spans="2:18" ht="40.5" hidden="1" x14ac:dyDescent="0.15">
      <c r="O35" s="6" t="s">
        <v>38</v>
      </c>
      <c r="P35" s="6" t="s">
        <v>39</v>
      </c>
      <c r="Q35" s="26" t="s">
        <v>40</v>
      </c>
      <c r="R35" s="7" t="s">
        <v>41</v>
      </c>
    </row>
    <row r="36" spans="2:18" hidden="1" x14ac:dyDescent="0.15">
      <c r="O36" s="22">
        <f t="shared" ref="O36:O48" si="5">E41+F41</f>
        <v>60</v>
      </c>
      <c r="P36" s="22">
        <f t="shared" ref="P36:P42" si="6">M41*2</f>
        <v>240</v>
      </c>
      <c r="Q36" s="22">
        <f t="shared" ref="Q36:Q48" si="7">M41</f>
        <v>120</v>
      </c>
      <c r="R36" s="71">
        <f t="shared" ref="R36:R48" si="8">L41*2</f>
        <v>0</v>
      </c>
    </row>
    <row r="37" spans="2:18" hidden="1" x14ac:dyDescent="0.15">
      <c r="B37" s="55" t="s">
        <v>42</v>
      </c>
      <c r="O37" s="22">
        <f t="shared" si="5"/>
        <v>444</v>
      </c>
      <c r="P37" s="22">
        <f t="shared" si="6"/>
        <v>3552</v>
      </c>
      <c r="Q37" s="22">
        <f t="shared" si="7"/>
        <v>1776</v>
      </c>
      <c r="R37" s="71">
        <f t="shared" si="8"/>
        <v>0</v>
      </c>
    </row>
    <row r="38" spans="2:18" hidden="1" x14ac:dyDescent="0.15">
      <c r="O38" s="22">
        <f t="shared" si="5"/>
        <v>462</v>
      </c>
      <c r="P38" s="22">
        <f t="shared" si="6"/>
        <v>4620</v>
      </c>
      <c r="Q38" s="22">
        <f t="shared" si="7"/>
        <v>2310</v>
      </c>
      <c r="R38" s="71">
        <f t="shared" si="8"/>
        <v>0</v>
      </c>
    </row>
    <row r="39" spans="2:18" ht="27" hidden="1" x14ac:dyDescent="0.15">
      <c r="B39" s="27"/>
      <c r="C39" s="72" t="s">
        <v>43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3" t="s">
        <v>44</v>
      </c>
      <c r="O39" s="22">
        <f t="shared" si="5"/>
        <v>0</v>
      </c>
      <c r="P39" s="22">
        <f t="shared" si="6"/>
        <v>0</v>
      </c>
      <c r="Q39" s="22">
        <f t="shared" si="7"/>
        <v>0</v>
      </c>
      <c r="R39" s="71">
        <f t="shared" si="8"/>
        <v>0</v>
      </c>
    </row>
    <row r="40" spans="2:18" ht="15" hidden="1" x14ac:dyDescent="0.15">
      <c r="B40" s="9" t="s">
        <v>45</v>
      </c>
      <c r="C40" s="56" t="s">
        <v>46</v>
      </c>
      <c r="D40" s="56" t="s">
        <v>47</v>
      </c>
      <c r="E40" s="52" t="s">
        <v>48</v>
      </c>
      <c r="F40" s="52" t="s">
        <v>49</v>
      </c>
      <c r="G40" s="56" t="s">
        <v>50</v>
      </c>
      <c r="H40" s="56" t="s">
        <v>51</v>
      </c>
      <c r="I40" s="10" t="s">
        <v>52</v>
      </c>
      <c r="J40" s="10"/>
      <c r="K40" s="10"/>
      <c r="L40" s="9" t="s">
        <v>19</v>
      </c>
      <c r="M40" s="10" t="s">
        <v>53</v>
      </c>
      <c r="N40" s="64" t="s">
        <v>54</v>
      </c>
      <c r="O40" s="22">
        <f t="shared" si="5"/>
        <v>0</v>
      </c>
      <c r="P40" s="22">
        <f t="shared" si="6"/>
        <v>0</v>
      </c>
      <c r="Q40" s="22">
        <f t="shared" si="7"/>
        <v>0</v>
      </c>
      <c r="R40" s="71">
        <f t="shared" si="8"/>
        <v>0</v>
      </c>
    </row>
    <row r="41" spans="2:18" ht="15" hidden="1" x14ac:dyDescent="0.15">
      <c r="B41" s="56"/>
      <c r="C41" s="56">
        <v>30</v>
      </c>
      <c r="D41" s="56">
        <f>B41*C41</f>
        <v>0</v>
      </c>
      <c r="E41" s="52">
        <f>(B41-1)*2*C41</f>
        <v>-60</v>
      </c>
      <c r="F41" s="52">
        <f t="shared" ref="F41:F53" si="9">4*C41</f>
        <v>120</v>
      </c>
      <c r="G41" s="56">
        <f t="shared" ref="G41:G53" si="10">C41*2</f>
        <v>60</v>
      </c>
      <c r="H41" s="56">
        <v>1300</v>
      </c>
      <c r="I41" s="10">
        <v>1300</v>
      </c>
      <c r="J41" s="10"/>
      <c r="K41" s="10"/>
      <c r="L41" s="52">
        <f>G41*0</f>
        <v>0</v>
      </c>
      <c r="M41" s="10">
        <f>N41*G41</f>
        <v>120</v>
      </c>
      <c r="N41" s="22">
        <v>2</v>
      </c>
      <c r="O41" s="22">
        <f t="shared" si="5"/>
        <v>0</v>
      </c>
      <c r="P41" s="22">
        <f t="shared" si="6"/>
        <v>0</v>
      </c>
      <c r="Q41" s="22">
        <f t="shared" si="7"/>
        <v>0</v>
      </c>
      <c r="R41" s="71">
        <f t="shared" si="8"/>
        <v>0</v>
      </c>
    </row>
    <row r="42" spans="2:18" ht="15" hidden="1" x14ac:dyDescent="0.15">
      <c r="B42" s="56"/>
      <c r="C42" s="56">
        <v>222</v>
      </c>
      <c r="D42" s="56">
        <f>B42*C42</f>
        <v>0</v>
      </c>
      <c r="E42" s="52">
        <f>(B42-1)*2*C42</f>
        <v>-444</v>
      </c>
      <c r="F42" s="52">
        <f t="shared" si="9"/>
        <v>888</v>
      </c>
      <c r="G42" s="56">
        <f t="shared" si="10"/>
        <v>444</v>
      </c>
      <c r="H42" s="56">
        <v>2600</v>
      </c>
      <c r="I42" s="10">
        <v>2600</v>
      </c>
      <c r="J42" s="10"/>
      <c r="K42" s="10"/>
      <c r="L42" s="52">
        <f>G42*0</f>
        <v>0</v>
      </c>
      <c r="M42" s="10">
        <f t="shared" ref="M42:M53" si="11">N42*G42</f>
        <v>1776</v>
      </c>
      <c r="N42" s="22">
        <v>4</v>
      </c>
      <c r="O42" s="22">
        <f t="shared" si="5"/>
        <v>0</v>
      </c>
      <c r="P42" s="22">
        <f t="shared" si="6"/>
        <v>0</v>
      </c>
      <c r="Q42" s="22">
        <f t="shared" si="7"/>
        <v>0</v>
      </c>
      <c r="R42" s="71">
        <f t="shared" si="8"/>
        <v>0</v>
      </c>
    </row>
    <row r="43" spans="2:18" ht="15" hidden="1" x14ac:dyDescent="0.15">
      <c r="B43" s="56"/>
      <c r="C43" s="56">
        <v>231</v>
      </c>
      <c r="D43" s="56">
        <f t="shared" ref="D43:D53" si="12">B43*C43</f>
        <v>0</v>
      </c>
      <c r="E43" s="52">
        <f>(B43-1)*2*C43</f>
        <v>-462</v>
      </c>
      <c r="F43" s="52">
        <f t="shared" si="9"/>
        <v>924</v>
      </c>
      <c r="G43" s="56">
        <f t="shared" si="10"/>
        <v>462</v>
      </c>
      <c r="H43" s="56">
        <v>3700</v>
      </c>
      <c r="I43" s="10">
        <v>3700</v>
      </c>
      <c r="J43" s="10"/>
      <c r="K43" s="10"/>
      <c r="L43" s="52">
        <f>G43*0</f>
        <v>0</v>
      </c>
      <c r="M43" s="10">
        <f t="shared" si="11"/>
        <v>2310</v>
      </c>
      <c r="N43" s="22">
        <v>5</v>
      </c>
      <c r="O43" s="22">
        <f t="shared" si="5"/>
        <v>1068</v>
      </c>
      <c r="P43" s="22">
        <f>M48*0</f>
        <v>0</v>
      </c>
      <c r="Q43" s="22">
        <f t="shared" si="7"/>
        <v>1068</v>
      </c>
      <c r="R43" s="71">
        <f t="shared" si="8"/>
        <v>0</v>
      </c>
    </row>
    <row r="44" spans="2:18" ht="15" hidden="1" x14ac:dyDescent="0.15">
      <c r="B44" s="56"/>
      <c r="C44" s="56">
        <v>0</v>
      </c>
      <c r="D44" s="56">
        <f t="shared" si="12"/>
        <v>0</v>
      </c>
      <c r="E44" s="52">
        <f t="shared" ref="E44:E53" si="13">(B44-1)*2*C44</f>
        <v>0</v>
      </c>
      <c r="F44" s="52">
        <f t="shared" si="9"/>
        <v>0</v>
      </c>
      <c r="G44" s="56">
        <f t="shared" si="10"/>
        <v>0</v>
      </c>
      <c r="H44" s="56">
        <v>5000</v>
      </c>
      <c r="I44" s="10" t="s">
        <v>55</v>
      </c>
      <c r="J44" s="10"/>
      <c r="K44" s="10"/>
      <c r="L44" s="52">
        <f>1*G44</f>
        <v>0</v>
      </c>
      <c r="M44" s="10">
        <f t="shared" si="11"/>
        <v>0</v>
      </c>
      <c r="N44" s="22">
        <v>6</v>
      </c>
      <c r="O44" s="22">
        <f t="shared" si="5"/>
        <v>0</v>
      </c>
      <c r="P44" s="22">
        <f>M49*2</f>
        <v>0</v>
      </c>
      <c r="Q44" s="22">
        <f t="shared" si="7"/>
        <v>0</v>
      </c>
      <c r="R44" s="71">
        <f t="shared" si="8"/>
        <v>0</v>
      </c>
    </row>
    <row r="45" spans="2:18" ht="15" hidden="1" x14ac:dyDescent="0.15">
      <c r="B45" s="56"/>
      <c r="C45" s="56">
        <v>0</v>
      </c>
      <c r="D45" s="56">
        <f t="shared" si="12"/>
        <v>0</v>
      </c>
      <c r="E45" s="52">
        <f t="shared" si="13"/>
        <v>0</v>
      </c>
      <c r="F45" s="52">
        <f t="shared" si="9"/>
        <v>0</v>
      </c>
      <c r="G45" s="56">
        <f t="shared" si="10"/>
        <v>0</v>
      </c>
      <c r="H45" s="56">
        <v>7050</v>
      </c>
      <c r="I45" s="10" t="s">
        <v>56</v>
      </c>
      <c r="J45" s="10"/>
      <c r="K45" s="10"/>
      <c r="L45" s="52">
        <f>1*G45</f>
        <v>0</v>
      </c>
      <c r="M45" s="10">
        <f t="shared" si="11"/>
        <v>0</v>
      </c>
      <c r="N45" s="22">
        <v>8</v>
      </c>
      <c r="O45" s="22">
        <f t="shared" si="5"/>
        <v>0</v>
      </c>
      <c r="P45" s="22">
        <f>M50*2</f>
        <v>0</v>
      </c>
      <c r="Q45" s="22">
        <f t="shared" si="7"/>
        <v>0</v>
      </c>
      <c r="R45" s="71">
        <f t="shared" si="8"/>
        <v>0</v>
      </c>
    </row>
    <row r="46" spans="2:18" ht="15" hidden="1" x14ac:dyDescent="0.15">
      <c r="B46" s="56"/>
      <c r="C46" s="56">
        <v>0</v>
      </c>
      <c r="D46" s="56">
        <f t="shared" si="12"/>
        <v>0</v>
      </c>
      <c r="E46" s="52">
        <f t="shared" si="13"/>
        <v>0</v>
      </c>
      <c r="F46" s="52">
        <f t="shared" si="9"/>
        <v>0</v>
      </c>
      <c r="G46" s="56">
        <f t="shared" si="10"/>
        <v>0</v>
      </c>
      <c r="H46" s="56">
        <v>30250</v>
      </c>
      <c r="I46" s="10" t="s">
        <v>57</v>
      </c>
      <c r="J46" s="10"/>
      <c r="K46" s="10"/>
      <c r="L46" s="52">
        <f>1*G46</f>
        <v>0</v>
      </c>
      <c r="M46" s="10">
        <f t="shared" si="11"/>
        <v>0</v>
      </c>
      <c r="N46" s="22">
        <v>33</v>
      </c>
      <c r="O46" s="22">
        <f t="shared" si="5"/>
        <v>0</v>
      </c>
      <c r="P46" s="22">
        <f>M51*2</f>
        <v>0</v>
      </c>
      <c r="Q46" s="22">
        <f t="shared" si="7"/>
        <v>0</v>
      </c>
      <c r="R46" s="71">
        <f t="shared" si="8"/>
        <v>0</v>
      </c>
    </row>
    <row r="47" spans="2:18" ht="15" hidden="1" x14ac:dyDescent="0.15">
      <c r="B47" s="56"/>
      <c r="C47" s="56">
        <v>0</v>
      </c>
      <c r="D47" s="56">
        <f t="shared" si="12"/>
        <v>0</v>
      </c>
      <c r="E47" s="52">
        <f t="shared" si="13"/>
        <v>0</v>
      </c>
      <c r="F47" s="52">
        <f>4*D47</f>
        <v>0</v>
      </c>
      <c r="G47" s="56">
        <f t="shared" si="10"/>
        <v>0</v>
      </c>
      <c r="H47" s="56">
        <v>64450</v>
      </c>
      <c r="I47" s="10" t="s">
        <v>58</v>
      </c>
      <c r="J47" s="10"/>
      <c r="K47" s="10"/>
      <c r="L47" s="52">
        <f>1*G47</f>
        <v>0</v>
      </c>
      <c r="M47" s="10">
        <f t="shared" si="11"/>
        <v>0</v>
      </c>
      <c r="N47" s="22">
        <v>78</v>
      </c>
      <c r="O47" s="22">
        <f t="shared" si="5"/>
        <v>0</v>
      </c>
      <c r="P47" s="22">
        <f>M52*2</f>
        <v>0</v>
      </c>
      <c r="Q47" s="22">
        <f t="shared" si="7"/>
        <v>0</v>
      </c>
      <c r="R47" s="71">
        <f t="shared" si="8"/>
        <v>0</v>
      </c>
    </row>
    <row r="48" spans="2:18" ht="15" hidden="1" x14ac:dyDescent="0.15">
      <c r="B48" s="57"/>
      <c r="C48" s="57">
        <v>6</v>
      </c>
      <c r="D48" s="57">
        <f t="shared" si="12"/>
        <v>0</v>
      </c>
      <c r="E48" s="52">
        <v>0</v>
      </c>
      <c r="F48" s="58">
        <f>89*2*C48</f>
        <v>1068</v>
      </c>
      <c r="G48" s="57">
        <f>C48*89</f>
        <v>534</v>
      </c>
      <c r="H48" s="57">
        <v>1400</v>
      </c>
      <c r="I48" s="66">
        <v>1400</v>
      </c>
      <c r="J48" s="10"/>
      <c r="K48" s="10"/>
      <c r="L48" s="81">
        <v>0</v>
      </c>
      <c r="M48" s="65">
        <f t="shared" si="11"/>
        <v>1068</v>
      </c>
      <c r="N48" s="62">
        <v>2</v>
      </c>
      <c r="O48" s="22">
        <f t="shared" si="5"/>
        <v>0</v>
      </c>
      <c r="P48" s="22">
        <f>M53*2</f>
        <v>0</v>
      </c>
      <c r="Q48" s="22">
        <f t="shared" si="7"/>
        <v>0</v>
      </c>
      <c r="R48" s="71">
        <f t="shared" si="8"/>
        <v>0</v>
      </c>
    </row>
    <row r="49" spans="2:18" ht="15" hidden="1" x14ac:dyDescent="0.15">
      <c r="B49" s="79"/>
      <c r="C49" s="79">
        <v>0</v>
      </c>
      <c r="D49" s="56">
        <f t="shared" si="12"/>
        <v>0</v>
      </c>
      <c r="E49" s="52">
        <f t="shared" si="13"/>
        <v>0</v>
      </c>
      <c r="F49" s="52">
        <f t="shared" si="9"/>
        <v>0</v>
      </c>
      <c r="G49" s="80">
        <f t="shared" si="10"/>
        <v>0</v>
      </c>
      <c r="H49" s="80">
        <v>0</v>
      </c>
      <c r="I49" s="10" t="s">
        <v>59</v>
      </c>
      <c r="J49" s="10"/>
      <c r="K49" s="10"/>
      <c r="L49" s="81">
        <f>2*G49</f>
        <v>0</v>
      </c>
      <c r="M49" s="65">
        <f t="shared" si="11"/>
        <v>0</v>
      </c>
      <c r="N49" s="62">
        <v>0</v>
      </c>
      <c r="O49" s="67">
        <f t="shared" ref="O49:R49" si="14">SUM(O36:O48)</f>
        <v>2034</v>
      </c>
      <c r="P49" s="67">
        <f t="shared" si="14"/>
        <v>8412</v>
      </c>
      <c r="Q49" s="67">
        <f t="shared" si="14"/>
        <v>5274</v>
      </c>
      <c r="R49" s="67">
        <f t="shared" si="14"/>
        <v>0</v>
      </c>
    </row>
    <row r="50" spans="2:18" ht="15" hidden="1" x14ac:dyDescent="0.15">
      <c r="B50" s="79"/>
      <c r="C50" s="79">
        <v>0</v>
      </c>
      <c r="D50" s="56">
        <f t="shared" si="12"/>
        <v>0</v>
      </c>
      <c r="E50" s="52">
        <f t="shared" si="13"/>
        <v>0</v>
      </c>
      <c r="F50" s="52">
        <f t="shared" si="9"/>
        <v>0</v>
      </c>
      <c r="G50" s="80">
        <f t="shared" si="10"/>
        <v>0</v>
      </c>
      <c r="H50" s="80">
        <v>0</v>
      </c>
      <c r="I50" s="10" t="s">
        <v>60</v>
      </c>
      <c r="J50" s="10"/>
      <c r="K50" s="10"/>
      <c r="L50" s="81">
        <f>3*G50</f>
        <v>0</v>
      </c>
      <c r="M50" s="65">
        <f t="shared" si="11"/>
        <v>0</v>
      </c>
      <c r="N50" s="62">
        <v>0</v>
      </c>
    </row>
    <row r="51" spans="2:18" ht="15" hidden="1" x14ac:dyDescent="0.15">
      <c r="B51" s="79"/>
      <c r="C51" s="79">
        <v>0</v>
      </c>
      <c r="D51" s="56">
        <f t="shared" si="12"/>
        <v>0</v>
      </c>
      <c r="E51" s="52">
        <f t="shared" si="13"/>
        <v>0</v>
      </c>
      <c r="F51" s="52">
        <f t="shared" si="9"/>
        <v>0</v>
      </c>
      <c r="G51" s="80">
        <f t="shared" si="10"/>
        <v>0</v>
      </c>
      <c r="H51" s="80">
        <v>0</v>
      </c>
      <c r="I51" s="10" t="s">
        <v>61</v>
      </c>
      <c r="J51" s="10"/>
      <c r="K51" s="10"/>
      <c r="L51" s="81">
        <f>3*G51</f>
        <v>0</v>
      </c>
      <c r="M51" s="65">
        <f t="shared" si="11"/>
        <v>0</v>
      </c>
      <c r="N51" s="62">
        <v>0</v>
      </c>
    </row>
    <row r="52" spans="2:18" ht="15" hidden="1" x14ac:dyDescent="0.15">
      <c r="B52" s="79"/>
      <c r="C52" s="79">
        <v>0</v>
      </c>
      <c r="D52" s="56">
        <f t="shared" si="12"/>
        <v>0</v>
      </c>
      <c r="E52" s="52">
        <f t="shared" si="13"/>
        <v>0</v>
      </c>
      <c r="F52" s="52">
        <f t="shared" si="9"/>
        <v>0</v>
      </c>
      <c r="G52" s="80">
        <f t="shared" si="10"/>
        <v>0</v>
      </c>
      <c r="H52" s="80">
        <v>0</v>
      </c>
      <c r="I52" s="10" t="s">
        <v>62</v>
      </c>
      <c r="J52" s="10"/>
      <c r="K52" s="10"/>
      <c r="L52" s="81">
        <f>4*G52</f>
        <v>0</v>
      </c>
      <c r="M52" s="65">
        <f t="shared" si="11"/>
        <v>0</v>
      </c>
      <c r="N52" s="62">
        <v>0</v>
      </c>
    </row>
    <row r="53" spans="2:18" ht="15" hidden="1" x14ac:dyDescent="0.15">
      <c r="B53" s="79"/>
      <c r="C53" s="79">
        <v>0</v>
      </c>
      <c r="D53" s="56">
        <f t="shared" si="12"/>
        <v>0</v>
      </c>
      <c r="E53" s="52">
        <f t="shared" si="13"/>
        <v>0</v>
      </c>
      <c r="F53" s="52">
        <f t="shared" si="9"/>
        <v>0</v>
      </c>
      <c r="G53" s="80">
        <f t="shared" si="10"/>
        <v>0</v>
      </c>
      <c r="H53" s="80">
        <v>0</v>
      </c>
      <c r="I53" s="10" t="s">
        <v>63</v>
      </c>
      <c r="J53" s="10"/>
      <c r="K53" s="10"/>
      <c r="L53" s="81">
        <f>4*G53</f>
        <v>0</v>
      </c>
      <c r="M53" s="65">
        <f t="shared" si="11"/>
        <v>0</v>
      </c>
      <c r="N53" s="62">
        <v>0</v>
      </c>
    </row>
    <row r="54" spans="2:18" ht="14.25" hidden="1" x14ac:dyDescent="0.15">
      <c r="B54" s="59"/>
      <c r="C54" s="59"/>
      <c r="D54" s="67">
        <f>SUM(D41:D53)</f>
        <v>0</v>
      </c>
      <c r="E54" s="67">
        <f t="shared" ref="E54:H54" si="15">SUM(E41:E53)</f>
        <v>-966</v>
      </c>
      <c r="F54" s="67">
        <f t="shared" si="15"/>
        <v>3000</v>
      </c>
      <c r="G54" s="67">
        <f t="shared" si="15"/>
        <v>1500</v>
      </c>
      <c r="H54" s="67">
        <f t="shared" si="15"/>
        <v>115750</v>
      </c>
      <c r="I54" s="67"/>
      <c r="J54" s="67"/>
      <c r="K54" s="67"/>
      <c r="L54" s="67">
        <f>SUM(L41:L53)</f>
        <v>0</v>
      </c>
      <c r="M54" s="67">
        <f>SUM(M41:M43)</f>
        <v>4206</v>
      </c>
      <c r="N54" s="67">
        <f t="shared" ref="N54" si="16">SUM(N41:N53)</f>
        <v>138</v>
      </c>
    </row>
    <row r="55" spans="2:18" hidden="1" x14ac:dyDescent="0.15"/>
    <row r="56" spans="2:18" hidden="1" x14ac:dyDescent="0.15">
      <c r="C56" s="30">
        <f t="shared" ref="C56:C68" si="17">G41*H41</f>
        <v>78000</v>
      </c>
      <c r="D56" s="30" t="e">
        <f>#REF!*#REF!</f>
        <v>#REF!</v>
      </c>
      <c r="E56" s="30" t="e">
        <f>#REF!*#REF!</f>
        <v>#REF!</v>
      </c>
      <c r="G56" s="33">
        <v>1300</v>
      </c>
      <c r="H56" s="33">
        <f>G41+G44</f>
        <v>60</v>
      </c>
      <c r="I56" s="34">
        <f t="shared" ref="I56:I58" si="18">G56*H56</f>
        <v>78000</v>
      </c>
      <c r="L56" s="30" t="e">
        <f>#REF!+#REF!+L54</f>
        <v>#REF!</v>
      </c>
    </row>
    <row r="57" spans="2:18" hidden="1" x14ac:dyDescent="0.15">
      <c r="C57" s="30">
        <f t="shared" si="17"/>
        <v>1154400</v>
      </c>
      <c r="D57" s="30" t="e">
        <f>#REF!*#REF!</f>
        <v>#REF!</v>
      </c>
      <c r="E57" s="30" t="e">
        <f>#REF!*#REF!</f>
        <v>#REF!</v>
      </c>
      <c r="G57" s="33">
        <v>2600</v>
      </c>
      <c r="H57" s="33">
        <f>G42</f>
        <v>444</v>
      </c>
      <c r="I57" s="34">
        <f t="shared" si="18"/>
        <v>1154400</v>
      </c>
    </row>
    <row r="58" spans="2:18" hidden="1" x14ac:dyDescent="0.15">
      <c r="C58" s="30">
        <f t="shared" si="17"/>
        <v>1709400</v>
      </c>
      <c r="D58" s="30" t="e">
        <f>#REF!*#REF!</f>
        <v>#REF!</v>
      </c>
      <c r="E58" s="30" t="e">
        <f>#REF!*#REF!</f>
        <v>#REF!</v>
      </c>
      <c r="G58" s="33">
        <v>3700</v>
      </c>
      <c r="H58" s="33">
        <f>G43+G44</f>
        <v>462</v>
      </c>
      <c r="I58" s="34">
        <f t="shared" si="18"/>
        <v>1709400</v>
      </c>
    </row>
    <row r="59" spans="2:18" hidden="1" x14ac:dyDescent="0.15">
      <c r="C59" s="30">
        <f t="shared" si="17"/>
        <v>0</v>
      </c>
      <c r="D59" s="30" t="e">
        <f>#REF!*#REF!</f>
        <v>#REF!</v>
      </c>
      <c r="E59" s="30" t="e">
        <f>#REF!*#REF!</f>
        <v>#REF!</v>
      </c>
      <c r="G59" s="33">
        <v>4650</v>
      </c>
      <c r="H59" s="33">
        <v>0</v>
      </c>
      <c r="I59" s="34">
        <f t="shared" ref="I59:I63" si="19">G59*H59</f>
        <v>0</v>
      </c>
    </row>
    <row r="60" spans="2:18" hidden="1" x14ac:dyDescent="0.15">
      <c r="C60" s="30">
        <f t="shared" si="17"/>
        <v>0</v>
      </c>
      <c r="D60" s="30" t="e">
        <f>#REF!*#REF!</f>
        <v>#REF!</v>
      </c>
      <c r="E60" s="30" t="e">
        <f>#REF!*#REF!</f>
        <v>#REF!</v>
      </c>
      <c r="G60" s="34">
        <v>2400</v>
      </c>
      <c r="H60" s="34">
        <f>G45</f>
        <v>0</v>
      </c>
      <c r="I60" s="34">
        <f t="shared" si="19"/>
        <v>0</v>
      </c>
    </row>
    <row r="61" spans="2:18" hidden="1" x14ac:dyDescent="0.15">
      <c r="C61" s="30">
        <f t="shared" si="17"/>
        <v>0</v>
      </c>
      <c r="D61" s="30" t="e">
        <f>#REF!*#REF!</f>
        <v>#REF!</v>
      </c>
      <c r="E61" s="30" t="e">
        <f>#REF!*#REF!</f>
        <v>#REF!</v>
      </c>
      <c r="G61" s="34">
        <v>2350</v>
      </c>
      <c r="H61" s="34">
        <f>G46</f>
        <v>0</v>
      </c>
      <c r="I61" s="34">
        <f t="shared" si="19"/>
        <v>0</v>
      </c>
    </row>
    <row r="62" spans="2:18" hidden="1" x14ac:dyDescent="0.15">
      <c r="C62" s="30">
        <f t="shared" si="17"/>
        <v>0</v>
      </c>
      <c r="D62" s="30" t="e">
        <f>#REF!*#REF!</f>
        <v>#REF!</v>
      </c>
      <c r="E62" s="30" t="e">
        <f>#REF!*#REF!</f>
        <v>#REF!</v>
      </c>
      <c r="G62" s="34">
        <v>4000</v>
      </c>
      <c r="H62" s="34">
        <f>G47</f>
        <v>0</v>
      </c>
      <c r="I62" s="34">
        <f t="shared" si="19"/>
        <v>0</v>
      </c>
      <c r="M62" s="35" t="s">
        <v>64</v>
      </c>
    </row>
    <row r="63" spans="2:18" ht="14.25" hidden="1" x14ac:dyDescent="0.15">
      <c r="C63" s="30">
        <f t="shared" si="17"/>
        <v>747600</v>
      </c>
      <c r="D63" s="30" t="e">
        <f>#REF!*#REF!</f>
        <v>#REF!</v>
      </c>
      <c r="E63" s="30" t="e">
        <f>#REF!*#REF!</f>
        <v>#REF!</v>
      </c>
      <c r="G63" s="34">
        <v>3900</v>
      </c>
      <c r="H63" s="34">
        <v>0</v>
      </c>
      <c r="I63" s="34">
        <f t="shared" si="19"/>
        <v>0</v>
      </c>
      <c r="L63" s="20">
        <f>C71</f>
        <v>3689400</v>
      </c>
      <c r="M63" s="35">
        <f>I65-L63</f>
        <v>-747600</v>
      </c>
    </row>
    <row r="64" spans="2:18" hidden="1" x14ac:dyDescent="0.15">
      <c r="C64" s="30">
        <f t="shared" si="17"/>
        <v>0</v>
      </c>
      <c r="D64" s="30" t="e">
        <f>#REF!*#REF!</f>
        <v>#REF!</v>
      </c>
      <c r="E64" s="30" t="e">
        <f>#REF!*#REF!</f>
        <v>#REF!</v>
      </c>
    </row>
    <row r="65" spans="3:11" ht="14.25" hidden="1" x14ac:dyDescent="0.15">
      <c r="C65" s="30">
        <f t="shared" si="17"/>
        <v>0</v>
      </c>
      <c r="D65" s="30"/>
      <c r="E65" s="30" t="e">
        <f>#REF!*#REF!</f>
        <v>#REF!</v>
      </c>
      <c r="I65" s="68">
        <f>SUM(I56:I63)</f>
        <v>2941800</v>
      </c>
      <c r="J65" s="69"/>
      <c r="K65" s="69"/>
    </row>
    <row r="66" spans="3:11" hidden="1" x14ac:dyDescent="0.15">
      <c r="C66" s="30">
        <f t="shared" si="17"/>
        <v>0</v>
      </c>
      <c r="D66" s="30" t="e">
        <f>SUM(D56:D65)</f>
        <v>#REF!</v>
      </c>
      <c r="E66" s="30" t="e">
        <f>SUM(E56:E65)</f>
        <v>#REF!</v>
      </c>
    </row>
    <row r="67" spans="3:11" hidden="1" x14ac:dyDescent="0.15">
      <c r="C67" s="30">
        <f t="shared" si="17"/>
        <v>0</v>
      </c>
      <c r="F67" s="30" t="e">
        <f>C71+D66+E66</f>
        <v>#REF!</v>
      </c>
    </row>
    <row r="68" spans="3:11" hidden="1" x14ac:dyDescent="0.15">
      <c r="C68" s="30">
        <f t="shared" si="17"/>
        <v>0</v>
      </c>
    </row>
    <row r="69" spans="3:11" hidden="1" x14ac:dyDescent="0.15">
      <c r="C69" s="30"/>
    </row>
    <row r="70" spans="3:11" hidden="1" x14ac:dyDescent="0.15">
      <c r="C70" s="30"/>
    </row>
    <row r="71" spans="3:11" hidden="1" x14ac:dyDescent="0.15">
      <c r="C71" s="30">
        <f>SUM(C56:C69)</f>
        <v>3689400</v>
      </c>
    </row>
    <row r="72" spans="3:11" hidden="1" x14ac:dyDescent="0.15">
      <c r="E72" s="60"/>
    </row>
  </sheetData>
  <mergeCells count="20">
    <mergeCell ref="O6:O13"/>
    <mergeCell ref="A21:A22"/>
    <mergeCell ref="D21:G22"/>
    <mergeCell ref="B15:N16"/>
    <mergeCell ref="H21:N22"/>
    <mergeCell ref="B17:N17"/>
    <mergeCell ref="B18:N18"/>
    <mergeCell ref="B19:N19"/>
    <mergeCell ref="B20:N20"/>
    <mergeCell ref="C12:D12"/>
    <mergeCell ref="D23:G23"/>
    <mergeCell ref="H23:N23"/>
    <mergeCell ref="C11:D11"/>
    <mergeCell ref="A1:N1"/>
    <mergeCell ref="A2:N2"/>
    <mergeCell ref="A3:F3"/>
    <mergeCell ref="G3:N3"/>
    <mergeCell ref="C10:D10"/>
    <mergeCell ref="B21:B22"/>
    <mergeCell ref="C21:C22"/>
  </mergeCells>
  <phoneticPr fontId="22" type="noConversion"/>
  <printOptions horizontalCentered="1" verticalCentered="1"/>
  <pageMargins left="0" right="0" top="0" bottom="0" header="0" footer="0"/>
  <pageSetup paperSize="9" scale="5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L99"/>
  <sheetViews>
    <sheetView topLeftCell="A11" zoomScaleNormal="100" zoomScaleSheetLayoutView="100" workbookViewId="0">
      <selection activeCell="E16" sqref="E16"/>
    </sheetView>
  </sheetViews>
  <sheetFormatPr defaultColWidth="9" defaultRowHeight="13.5" x14ac:dyDescent="0.15"/>
  <cols>
    <col min="1" max="1" width="10.25" style="31" customWidth="1"/>
    <col min="2" max="2" width="38.25" style="32" bestFit="1" customWidth="1"/>
    <col min="3" max="3" width="14.75" style="33" customWidth="1"/>
    <col min="4" max="4" width="19.5" style="33" bestFit="1" customWidth="1"/>
    <col min="5" max="5" width="14.125" style="30" customWidth="1"/>
    <col min="6" max="6" width="8.75" style="30" customWidth="1"/>
    <col min="7" max="8" width="8.625" style="34" customWidth="1"/>
    <col min="9" max="9" width="13.5" style="34" customWidth="1"/>
    <col min="10" max="11" width="8.625" style="34" customWidth="1"/>
    <col min="12" max="12" width="15.375" style="30" customWidth="1"/>
    <col min="13" max="13" width="12.75" style="35" customWidth="1"/>
    <col min="14" max="14" width="15.375" style="31" customWidth="1"/>
    <col min="15" max="15" width="13.875" style="31" customWidth="1"/>
    <col min="16" max="16" width="12.625" style="31" customWidth="1"/>
    <col min="17" max="17" width="13.125" style="31" customWidth="1"/>
    <col min="18" max="18" width="16.875" style="31" customWidth="1"/>
    <col min="19" max="19" width="25.375" style="31" customWidth="1"/>
    <col min="20" max="20" width="12.5" style="31" customWidth="1"/>
    <col min="21" max="21" width="10.5" style="31" customWidth="1"/>
    <col min="22" max="22" width="9" style="31"/>
    <col min="23" max="23" width="16.375" style="31" customWidth="1"/>
    <col min="24" max="24" width="16.75" style="31" customWidth="1"/>
    <col min="25" max="25" width="9" style="31"/>
    <col min="26" max="26" width="18.625" style="31" customWidth="1"/>
    <col min="27" max="16384" width="9" style="31"/>
  </cols>
  <sheetData>
    <row r="1" spans="1:246" ht="18.75" x14ac:dyDescent="0.15">
      <c r="A1" s="192" t="s">
        <v>0</v>
      </c>
      <c r="B1" s="192"/>
      <c r="C1" s="192"/>
      <c r="D1" s="192"/>
      <c r="E1" s="192"/>
      <c r="F1" s="192"/>
      <c r="G1" s="193"/>
      <c r="H1" s="193"/>
      <c r="I1" s="193"/>
      <c r="J1" s="193"/>
      <c r="K1" s="193"/>
      <c r="L1" s="192"/>
      <c r="M1" s="194"/>
      <c r="N1" s="192"/>
      <c r="O1" s="42"/>
    </row>
    <row r="2" spans="1:246" x14ac:dyDescent="0.15">
      <c r="A2" s="195" t="s">
        <v>354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5"/>
      <c r="M2" s="197"/>
      <c r="N2" s="195"/>
      <c r="O2" s="11"/>
    </row>
    <row r="3" spans="1:246" x14ac:dyDescent="0.15">
      <c r="A3" s="198" t="s">
        <v>359</v>
      </c>
      <c r="B3" s="199"/>
      <c r="C3" s="199"/>
      <c r="D3" s="199"/>
      <c r="E3" s="199"/>
      <c r="F3" s="199"/>
      <c r="G3" s="198"/>
      <c r="H3" s="199"/>
      <c r="I3" s="199"/>
      <c r="J3" s="199"/>
      <c r="K3" s="199"/>
      <c r="L3" s="199"/>
      <c r="M3" s="199"/>
      <c r="N3" s="200"/>
      <c r="O3" s="12"/>
    </row>
    <row r="4" spans="1:246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3"/>
      <c r="P4" s="43"/>
    </row>
    <row r="5" spans="1:246" s="28" customFormat="1" ht="15" x14ac:dyDescent="0.15">
      <c r="A5" s="3" t="s">
        <v>352</v>
      </c>
      <c r="B5" s="36" t="s">
        <v>25</v>
      </c>
      <c r="C5" s="41"/>
      <c r="D5" s="41"/>
      <c r="E5" s="3"/>
      <c r="F5" s="4"/>
      <c r="G5" s="5"/>
      <c r="H5" s="5"/>
      <c r="I5" s="5"/>
      <c r="J5" s="5"/>
      <c r="K5" s="5"/>
      <c r="L5" s="47"/>
      <c r="M5" s="15"/>
      <c r="N5" s="16"/>
      <c r="O5" s="49"/>
      <c r="P5" s="167" t="s">
        <v>320</v>
      </c>
      <c r="Q5" s="18"/>
      <c r="R5" s="18"/>
      <c r="S5" s="18"/>
      <c r="T5" s="31">
        <v>71019</v>
      </c>
      <c r="U5" s="24"/>
      <c r="V5" s="18"/>
      <c r="W5" s="18"/>
      <c r="X5" s="23"/>
      <c r="Y5" s="24"/>
      <c r="Z5" s="23"/>
      <c r="AA5" s="18"/>
      <c r="AB5"/>
      <c r="AC5"/>
      <c r="AD5"/>
      <c r="AE5"/>
    </row>
    <row r="6" spans="1:246" s="28" customFormat="1" ht="15" x14ac:dyDescent="0.15">
      <c r="A6" s="73">
        <v>1</v>
      </c>
      <c r="B6" s="73" t="s">
        <v>313</v>
      </c>
      <c r="C6" s="77">
        <v>1100</v>
      </c>
      <c r="D6" s="74" t="s">
        <v>317</v>
      </c>
      <c r="E6" s="38" t="s">
        <v>14</v>
      </c>
      <c r="F6" s="73" t="s">
        <v>18</v>
      </c>
      <c r="G6" s="185">
        <f>(P6/1.94)</f>
        <v>141.75257731958763</v>
      </c>
      <c r="H6" s="75">
        <v>0</v>
      </c>
      <c r="I6" s="75">
        <f>G6+H6</f>
        <v>141.75257731958763</v>
      </c>
      <c r="J6" s="75"/>
      <c r="K6" s="75"/>
      <c r="L6" s="182">
        <v>1.385</v>
      </c>
      <c r="M6" s="15">
        <f t="shared" ref="M6:M8" si="0">C6*G6*L6/1000</f>
        <v>215.96005154639178</v>
      </c>
      <c r="N6" s="180"/>
      <c r="O6" s="205"/>
      <c r="P6" s="167">
        <v>275</v>
      </c>
      <c r="Q6" s="18"/>
      <c r="R6" s="18"/>
      <c r="S6" s="18"/>
      <c r="T6" s="31">
        <v>71019</v>
      </c>
      <c r="U6" s="24"/>
      <c r="V6" s="18"/>
      <c r="W6" s="18"/>
      <c r="X6" s="23"/>
      <c r="Y6" s="24"/>
      <c r="Z6" s="23"/>
      <c r="AA6" s="18"/>
      <c r="AB6"/>
      <c r="AC6"/>
      <c r="AD6"/>
      <c r="AE6"/>
    </row>
    <row r="7" spans="1:246" s="28" customFormat="1" ht="15" x14ac:dyDescent="0.15">
      <c r="A7" s="73">
        <v>2</v>
      </c>
      <c r="B7" s="73" t="s">
        <v>314</v>
      </c>
      <c r="C7" s="77">
        <v>950</v>
      </c>
      <c r="D7" s="74" t="s">
        <v>317</v>
      </c>
      <c r="E7" s="38" t="s">
        <v>14</v>
      </c>
      <c r="F7" s="73" t="s">
        <v>18</v>
      </c>
      <c r="G7" s="185">
        <f>G6</f>
        <v>141.75257731958763</v>
      </c>
      <c r="H7" s="75">
        <v>0</v>
      </c>
      <c r="I7" s="75">
        <f t="shared" ref="I7:I13" si="1">G7+H7</f>
        <v>141.75257731958763</v>
      </c>
      <c r="J7" s="75"/>
      <c r="K7" s="75"/>
      <c r="L7" s="182">
        <v>1.385</v>
      </c>
      <c r="M7" s="15">
        <f t="shared" si="0"/>
        <v>186.51095360824746</v>
      </c>
      <c r="N7" s="180"/>
      <c r="O7" s="205"/>
      <c r="Q7" s="18"/>
      <c r="R7" s="18"/>
      <c r="S7" s="18"/>
      <c r="T7" s="31">
        <v>71019</v>
      </c>
      <c r="U7" s="24"/>
      <c r="V7" s="18"/>
      <c r="W7" s="18"/>
      <c r="X7" s="23"/>
      <c r="Y7" s="24"/>
      <c r="Z7" s="23"/>
      <c r="AA7" s="18"/>
      <c r="AB7"/>
      <c r="AC7"/>
      <c r="AD7"/>
      <c r="AE7"/>
    </row>
    <row r="8" spans="1:246" s="28" customFormat="1" ht="15" x14ac:dyDescent="0.15">
      <c r="A8" s="73">
        <v>3</v>
      </c>
      <c r="B8" s="73" t="s">
        <v>316</v>
      </c>
      <c r="C8" s="77">
        <v>60</v>
      </c>
      <c r="D8" s="74" t="s">
        <v>317</v>
      </c>
      <c r="E8" s="38" t="s">
        <v>14</v>
      </c>
      <c r="F8" s="73" t="s">
        <v>18</v>
      </c>
      <c r="G8" s="185">
        <f>G6*2</f>
        <v>283.50515463917526</v>
      </c>
      <c r="H8" s="75">
        <v>0</v>
      </c>
      <c r="I8" s="75">
        <f t="shared" si="1"/>
        <v>283.50515463917526</v>
      </c>
      <c r="J8" s="75"/>
      <c r="K8" s="75"/>
      <c r="L8" s="182">
        <v>1.385</v>
      </c>
      <c r="M8" s="15">
        <f t="shared" si="0"/>
        <v>23.559278350515466</v>
      </c>
      <c r="N8" s="180"/>
      <c r="O8" s="205"/>
      <c r="Q8" s="18"/>
      <c r="R8" s="18"/>
      <c r="S8" s="18"/>
      <c r="T8" s="31">
        <v>71019</v>
      </c>
      <c r="U8" s="24"/>
      <c r="V8" s="18"/>
      <c r="W8" s="18"/>
      <c r="X8" s="23"/>
      <c r="Y8" s="24"/>
      <c r="Z8" s="23"/>
      <c r="AA8" s="18"/>
      <c r="AB8"/>
      <c r="AC8"/>
      <c r="AD8"/>
      <c r="AE8"/>
    </row>
    <row r="9" spans="1:246" s="28" customFormat="1" ht="15" x14ac:dyDescent="0.15">
      <c r="A9" s="3">
        <v>4</v>
      </c>
      <c r="B9" s="4" t="s">
        <v>312</v>
      </c>
      <c r="C9" s="3">
        <v>50</v>
      </c>
      <c r="D9" s="74" t="s">
        <v>317</v>
      </c>
      <c r="E9" s="38" t="s">
        <v>14</v>
      </c>
      <c r="F9" s="3" t="s">
        <v>17</v>
      </c>
      <c r="G9" s="185">
        <f>G6*2</f>
        <v>283.50515463917526</v>
      </c>
      <c r="H9" s="39">
        <f>G9*0.003</f>
        <v>0.85051546391752575</v>
      </c>
      <c r="I9" s="5">
        <f t="shared" si="1"/>
        <v>284.35567010309279</v>
      </c>
      <c r="J9" s="5"/>
      <c r="K9" s="5"/>
      <c r="L9" s="44">
        <f>2.31*0.05</f>
        <v>0.11550000000000001</v>
      </c>
      <c r="M9" s="15">
        <f>G9*L9</f>
        <v>32.744845360824741</v>
      </c>
      <c r="N9" s="46"/>
      <c r="O9" s="205"/>
      <c r="Q9" s="18"/>
      <c r="R9" s="18"/>
      <c r="S9" s="18"/>
      <c r="T9" s="31"/>
      <c r="U9" s="24"/>
      <c r="V9" s="18"/>
      <c r="W9" s="18"/>
      <c r="X9" s="23"/>
      <c r="Y9" s="24"/>
      <c r="Z9" s="23"/>
      <c r="AA9" s="18"/>
      <c r="AB9"/>
      <c r="AC9"/>
      <c r="AD9"/>
      <c r="AE9"/>
    </row>
    <row r="10" spans="1:246" s="28" customFormat="1" ht="15" x14ac:dyDescent="0.15">
      <c r="A10" s="3">
        <v>5</v>
      </c>
      <c r="B10" s="40" t="s">
        <v>363</v>
      </c>
      <c r="C10" s="190" t="s">
        <v>66</v>
      </c>
      <c r="D10" s="191"/>
      <c r="E10" s="3" t="s">
        <v>20</v>
      </c>
      <c r="F10" s="3" t="s">
        <v>17</v>
      </c>
      <c r="G10" s="185">
        <f>G9*2</f>
        <v>567.01030927835052</v>
      </c>
      <c r="H10" s="39">
        <f t="shared" ref="H10:H12" si="2">G10*0.003</f>
        <v>1.7010309278350515</v>
      </c>
      <c r="I10" s="5">
        <f t="shared" si="1"/>
        <v>568.71134020618558</v>
      </c>
      <c r="J10" s="5"/>
      <c r="K10" s="5"/>
      <c r="L10" s="22">
        <f>0.016+0.004+0.002+0.0004</f>
        <v>2.24E-2</v>
      </c>
      <c r="M10" s="15">
        <f>G10*L10</f>
        <v>12.701030927835051</v>
      </c>
      <c r="N10" s="37" t="s">
        <v>321</v>
      </c>
      <c r="O10" s="205"/>
      <c r="Q10" s="18"/>
      <c r="R10" s="18"/>
      <c r="S10" s="18"/>
      <c r="T10" s="31"/>
      <c r="U10" s="24"/>
      <c r="V10" s="18"/>
      <c r="W10" s="18"/>
      <c r="X10" s="23"/>
      <c r="Y10" s="24"/>
      <c r="Z10" s="23"/>
      <c r="AA10" s="18"/>
      <c r="AB10"/>
      <c r="AC10"/>
      <c r="AD10"/>
      <c r="AE10"/>
    </row>
    <row r="11" spans="1:246" s="28" customFormat="1" ht="24" x14ac:dyDescent="0.15">
      <c r="A11" s="3">
        <v>5</v>
      </c>
      <c r="B11" s="40" t="s">
        <v>363</v>
      </c>
      <c r="C11" s="190" t="s">
        <v>66</v>
      </c>
      <c r="D11" s="191"/>
      <c r="E11" s="3" t="s">
        <v>20</v>
      </c>
      <c r="F11" s="3" t="s">
        <v>17</v>
      </c>
      <c r="G11" s="185">
        <f>G9</f>
        <v>283.50515463917526</v>
      </c>
      <c r="H11" s="39">
        <f t="shared" si="2"/>
        <v>0.85051546391752575</v>
      </c>
      <c r="I11" s="5">
        <f t="shared" si="1"/>
        <v>284.35567010309279</v>
      </c>
      <c r="J11" s="5"/>
      <c r="K11" s="5"/>
      <c r="L11" s="22">
        <f t="shared" ref="L11:L12" si="3">0.016+0.004+0.002+0.0004</f>
        <v>2.24E-2</v>
      </c>
      <c r="M11" s="15">
        <f>G11*L11</f>
        <v>6.3505154639175254</v>
      </c>
      <c r="N11" s="37" t="s">
        <v>315</v>
      </c>
      <c r="O11" s="205"/>
      <c r="Q11" s="18"/>
      <c r="R11" s="18"/>
      <c r="S11" s="18"/>
      <c r="T11" s="31"/>
      <c r="U11" s="24"/>
      <c r="V11" s="18"/>
      <c r="W11" s="18"/>
      <c r="X11" s="23"/>
      <c r="Y11" s="24"/>
      <c r="Z11" s="23"/>
      <c r="AA11" s="18"/>
      <c r="AB11"/>
      <c r="AC11"/>
      <c r="AD11"/>
      <c r="AE11"/>
    </row>
    <row r="12" spans="1:246" s="28" customFormat="1" ht="24" x14ac:dyDescent="0.15">
      <c r="A12" s="3">
        <v>6</v>
      </c>
      <c r="B12" s="40" t="s">
        <v>363</v>
      </c>
      <c r="C12" s="225" t="s">
        <v>22</v>
      </c>
      <c r="D12" s="226"/>
      <c r="E12" s="3" t="s">
        <v>20</v>
      </c>
      <c r="F12" s="3" t="s">
        <v>17</v>
      </c>
      <c r="G12" s="185">
        <f>G6*4</f>
        <v>567.01030927835052</v>
      </c>
      <c r="H12" s="39">
        <f t="shared" si="2"/>
        <v>1.7010309278350515</v>
      </c>
      <c r="I12" s="5">
        <f t="shared" si="1"/>
        <v>568.71134020618558</v>
      </c>
      <c r="J12" s="5"/>
      <c r="K12" s="5"/>
      <c r="L12" s="22">
        <f t="shared" si="3"/>
        <v>2.24E-2</v>
      </c>
      <c r="M12" s="15">
        <f>G12*L12</f>
        <v>12.701030927835051</v>
      </c>
      <c r="N12" s="37" t="s">
        <v>319</v>
      </c>
      <c r="O12" s="205"/>
      <c r="Q12" s="18"/>
      <c r="R12" s="18"/>
      <c r="S12" s="18"/>
      <c r="T12" s="31"/>
      <c r="U12" s="24"/>
      <c r="V12" s="18"/>
      <c r="W12" s="18"/>
      <c r="X12" s="23"/>
      <c r="Y12" s="24"/>
      <c r="Z12" s="23"/>
      <c r="AA12" s="18"/>
      <c r="AB12"/>
      <c r="AC12"/>
      <c r="AD12"/>
      <c r="AE12"/>
    </row>
    <row r="13" spans="1:246" s="28" customFormat="1" ht="15" x14ac:dyDescent="0.15">
      <c r="A13" s="73">
        <v>7</v>
      </c>
      <c r="B13" s="76" t="s">
        <v>318</v>
      </c>
      <c r="C13" s="77">
        <v>6000</v>
      </c>
      <c r="D13" s="74" t="s">
        <v>317</v>
      </c>
      <c r="E13" s="38" t="s">
        <v>14</v>
      </c>
      <c r="F13" s="73" t="s">
        <v>18</v>
      </c>
      <c r="G13" s="185">
        <f>P6/6*3</f>
        <v>137.5</v>
      </c>
      <c r="H13" s="75">
        <v>1</v>
      </c>
      <c r="I13" s="75">
        <f t="shared" si="1"/>
        <v>138.5</v>
      </c>
      <c r="J13" s="75"/>
      <c r="K13" s="75"/>
      <c r="L13" s="182">
        <v>1.385</v>
      </c>
      <c r="M13" s="78">
        <f>G13*L13</f>
        <v>190.4375</v>
      </c>
      <c r="N13" s="175"/>
      <c r="O13" s="205"/>
      <c r="Q13" s="18"/>
      <c r="R13" s="18"/>
      <c r="S13" s="18"/>
      <c r="T13" s="31"/>
      <c r="U13" s="24"/>
      <c r="V13" s="18"/>
      <c r="W13" s="18"/>
      <c r="X13" s="23"/>
      <c r="Y13" s="24"/>
      <c r="Z13" s="23"/>
      <c r="AA13" s="18"/>
      <c r="AB13"/>
      <c r="AC13"/>
      <c r="AD13"/>
      <c r="AE13"/>
    </row>
    <row r="14" spans="1:246" s="28" customFormat="1" ht="15" x14ac:dyDescent="0.15">
      <c r="A14" s="3"/>
      <c r="B14" s="4" t="s">
        <v>23</v>
      </c>
      <c r="C14" s="41"/>
      <c r="D14" s="41"/>
      <c r="E14" s="3"/>
      <c r="F14" s="4"/>
      <c r="G14" s="5"/>
      <c r="H14" s="5"/>
      <c r="I14" s="5"/>
      <c r="J14" s="5"/>
      <c r="K14" s="5"/>
      <c r="L14" s="47"/>
      <c r="M14" s="48">
        <f>SUM(M6:M13)</f>
        <v>680.96520618556701</v>
      </c>
      <c r="N14" s="16"/>
      <c r="O14" s="49"/>
      <c r="Q14" s="18"/>
      <c r="R14" s="18"/>
      <c r="S14" s="18">
        <v>57452</v>
      </c>
      <c r="T14" s="31">
        <v>76794</v>
      </c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246" s="28" customFormat="1" ht="15" x14ac:dyDescent="0.15">
      <c r="A15" s="3" t="s">
        <v>353</v>
      </c>
      <c r="B15" s="36" t="s">
        <v>322</v>
      </c>
      <c r="C15" s="41"/>
      <c r="D15" s="41"/>
      <c r="E15" s="3"/>
      <c r="F15" s="4"/>
      <c r="G15" s="5"/>
      <c r="H15" s="5"/>
      <c r="I15" s="5"/>
      <c r="J15" s="5"/>
      <c r="K15" s="5"/>
      <c r="L15" s="47"/>
      <c r="M15" s="15"/>
      <c r="N15" s="16"/>
      <c r="O15" s="17"/>
      <c r="Q15" s="18"/>
      <c r="R15" s="18"/>
      <c r="S15" s="18"/>
      <c r="T15" s="31"/>
      <c r="U15" s="24"/>
      <c r="V15" s="18"/>
      <c r="W15" s="18"/>
      <c r="X15" s="23"/>
      <c r="Y15" s="24"/>
      <c r="Z15" s="23"/>
      <c r="AA15" s="18"/>
      <c r="AB15"/>
      <c r="AC15"/>
      <c r="AD15"/>
      <c r="AE15"/>
    </row>
    <row r="16" spans="1:246" s="29" customFormat="1" ht="14.25" x14ac:dyDescent="0.15">
      <c r="A16" s="3">
        <v>1</v>
      </c>
      <c r="B16" s="4" t="s">
        <v>323</v>
      </c>
      <c r="C16" s="3">
        <v>16800</v>
      </c>
      <c r="D16" s="3" t="s">
        <v>67</v>
      </c>
      <c r="E16" s="186" t="s">
        <v>366</v>
      </c>
      <c r="F16" s="3" t="s">
        <v>280</v>
      </c>
      <c r="G16" s="22">
        <v>2</v>
      </c>
      <c r="H16" s="5">
        <v>0</v>
      </c>
      <c r="I16" s="5">
        <f>G16+H16</f>
        <v>2</v>
      </c>
      <c r="J16" s="5"/>
      <c r="K16" s="5"/>
      <c r="L16" s="182">
        <v>58.15</v>
      </c>
      <c r="M16" s="182">
        <f>L16*C16*I16/1000</f>
        <v>1953.84</v>
      </c>
      <c r="N16" s="46" t="s">
        <v>349</v>
      </c>
      <c r="O16" s="170" t="s">
        <v>356</v>
      </c>
      <c r="P16" s="22" t="s">
        <v>347</v>
      </c>
      <c r="Q16" s="22">
        <v>7</v>
      </c>
      <c r="U16" s="20"/>
      <c r="V16" s="20"/>
      <c r="W16" s="20"/>
      <c r="X16" s="20"/>
      <c r="Y16" s="20"/>
      <c r="Z16" s="20"/>
      <c r="AA16"/>
      <c r="AB16"/>
      <c r="AC16"/>
      <c r="AD16"/>
      <c r="AE1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</row>
    <row r="17" spans="1:246" s="29" customFormat="1" ht="14.25" x14ac:dyDescent="0.15">
      <c r="A17" s="3">
        <v>2</v>
      </c>
      <c r="B17" s="4" t="s">
        <v>323</v>
      </c>
      <c r="C17" s="3">
        <v>14700</v>
      </c>
      <c r="D17" s="3" t="s">
        <v>67</v>
      </c>
      <c r="E17" s="186" t="s">
        <v>366</v>
      </c>
      <c r="F17" s="3" t="s">
        <v>280</v>
      </c>
      <c r="G17" s="22">
        <v>2</v>
      </c>
      <c r="H17" s="5">
        <v>0</v>
      </c>
      <c r="I17" s="5">
        <f t="shared" ref="I17:I20" si="4">G17+H17</f>
        <v>2</v>
      </c>
      <c r="J17" s="5"/>
      <c r="K17" s="5"/>
      <c r="L17" s="182">
        <v>58.15</v>
      </c>
      <c r="M17" s="182">
        <f t="shared" ref="M17:M19" si="5">L17*C17*I17/1000</f>
        <v>1709.61</v>
      </c>
      <c r="N17" s="46" t="s">
        <v>349</v>
      </c>
      <c r="O17" s="22"/>
      <c r="P17" s="22" t="s">
        <v>348</v>
      </c>
      <c r="Q17" s="22">
        <v>8</v>
      </c>
      <c r="R17" s="20"/>
      <c r="S17" s="20"/>
      <c r="U17" s="20"/>
      <c r="V17" s="20"/>
      <c r="W17" s="20"/>
      <c r="X17" s="20"/>
      <c r="Y17" s="20"/>
      <c r="Z17" s="20"/>
      <c r="AA17"/>
      <c r="AB17"/>
      <c r="AC17"/>
      <c r="AD17"/>
      <c r="AE17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</row>
    <row r="18" spans="1:246" s="29" customFormat="1" ht="27" x14ac:dyDescent="0.15">
      <c r="A18" s="3">
        <v>3</v>
      </c>
      <c r="B18" s="40" t="s">
        <v>324</v>
      </c>
      <c r="C18" s="3">
        <v>3126</v>
      </c>
      <c r="D18" s="3" t="s">
        <v>67</v>
      </c>
      <c r="E18" s="186" t="s">
        <v>366</v>
      </c>
      <c r="F18" s="3" t="s">
        <v>280</v>
      </c>
      <c r="G18" s="22">
        <f>Q17</f>
        <v>8</v>
      </c>
      <c r="H18" s="5">
        <v>0</v>
      </c>
      <c r="I18" s="5">
        <f t="shared" si="4"/>
        <v>8</v>
      </c>
      <c r="J18" s="5"/>
      <c r="K18" s="5"/>
      <c r="L18" s="182">
        <v>29.48</v>
      </c>
      <c r="M18" s="182">
        <f t="shared" si="5"/>
        <v>737.23583999999994</v>
      </c>
      <c r="N18" s="181" t="s">
        <v>342</v>
      </c>
      <c r="O18" s="51"/>
      <c r="P18" s="28"/>
      <c r="Q18" s="20"/>
      <c r="R18" s="20"/>
      <c r="S18" s="20"/>
      <c r="U18" s="25"/>
      <c r="V18" s="20"/>
      <c r="W18" s="20"/>
      <c r="X18" s="20"/>
      <c r="Y18" s="19"/>
      <c r="Z18" s="25"/>
      <c r="AA18"/>
      <c r="AB18"/>
      <c r="AC18"/>
      <c r="AD18"/>
      <c r="AE1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</row>
    <row r="19" spans="1:246" s="29" customFormat="1" ht="24" customHeight="1" x14ac:dyDescent="0.15">
      <c r="A19" s="3">
        <v>4</v>
      </c>
      <c r="B19" s="40" t="s">
        <v>325</v>
      </c>
      <c r="C19" s="3">
        <v>1000</v>
      </c>
      <c r="D19" s="3" t="s">
        <v>67</v>
      </c>
      <c r="E19" s="186" t="s">
        <v>366</v>
      </c>
      <c r="F19" s="3" t="s">
        <v>280</v>
      </c>
      <c r="G19" s="22">
        <f>G20*6+G21*3</f>
        <v>45</v>
      </c>
      <c r="H19" s="5">
        <v>0</v>
      </c>
      <c r="I19" s="5">
        <f t="shared" si="4"/>
        <v>45</v>
      </c>
      <c r="J19" s="5"/>
      <c r="K19" s="5"/>
      <c r="L19" s="182">
        <v>10</v>
      </c>
      <c r="M19" s="182">
        <f t="shared" si="5"/>
        <v>450</v>
      </c>
      <c r="N19" s="46" t="s">
        <v>349</v>
      </c>
      <c r="O19" s="51"/>
      <c r="P19" s="28"/>
      <c r="Q19" s="20"/>
      <c r="R19" s="20"/>
      <c r="S19" s="20"/>
      <c r="U19" s="25"/>
      <c r="V19" s="20"/>
      <c r="W19" s="20"/>
      <c r="X19" s="20"/>
      <c r="Y19" s="19"/>
      <c r="Z19" s="25"/>
      <c r="AA19"/>
      <c r="AB19"/>
      <c r="AC19"/>
      <c r="AD19"/>
      <c r="AE1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</row>
    <row r="20" spans="1:246" s="29" customFormat="1" ht="15.75" x14ac:dyDescent="0.15">
      <c r="A20" s="3">
        <v>5</v>
      </c>
      <c r="B20" s="40" t="s">
        <v>326</v>
      </c>
      <c r="C20" s="3">
        <v>2450</v>
      </c>
      <c r="D20" s="3" t="s">
        <v>67</v>
      </c>
      <c r="E20" s="186" t="s">
        <v>366</v>
      </c>
      <c r="F20" s="3" t="s">
        <v>344</v>
      </c>
      <c r="G20" s="22">
        <f>Q17-G21</f>
        <v>7</v>
      </c>
      <c r="H20" s="5">
        <v>0</v>
      </c>
      <c r="I20" s="5">
        <f t="shared" si="4"/>
        <v>7</v>
      </c>
      <c r="J20" s="5"/>
      <c r="K20" s="5"/>
      <c r="L20" s="182">
        <v>115.4</v>
      </c>
      <c r="M20" s="182">
        <f>L20*I20</f>
        <v>807.80000000000007</v>
      </c>
      <c r="N20" s="46" t="s">
        <v>349</v>
      </c>
      <c r="O20" s="51"/>
      <c r="P20" s="45"/>
      <c r="Q20" s="20"/>
      <c r="R20" s="20"/>
      <c r="S20" s="20"/>
      <c r="U20" s="25"/>
      <c r="V20" s="20"/>
      <c r="W20" s="20"/>
      <c r="X20" s="20"/>
      <c r="Y20" s="19"/>
      <c r="Z20" s="25"/>
      <c r="AA20"/>
      <c r="AB20"/>
      <c r="AC20"/>
      <c r="AD20"/>
      <c r="AE20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</row>
    <row r="21" spans="1:246" s="28" customFormat="1" ht="15" x14ac:dyDescent="0.15">
      <c r="A21" s="3">
        <v>6</v>
      </c>
      <c r="B21" s="4" t="s">
        <v>327</v>
      </c>
      <c r="C21" s="3">
        <v>1225</v>
      </c>
      <c r="D21" s="3" t="s">
        <v>67</v>
      </c>
      <c r="E21" s="186" t="s">
        <v>366</v>
      </c>
      <c r="F21" s="3" t="s">
        <v>344</v>
      </c>
      <c r="G21" s="22">
        <f>1</f>
        <v>1</v>
      </c>
      <c r="H21" s="5">
        <v>0</v>
      </c>
      <c r="I21" s="5">
        <f>G21+H21</f>
        <v>1</v>
      </c>
      <c r="J21" s="5"/>
      <c r="K21" s="5"/>
      <c r="L21" s="182">
        <v>57.7</v>
      </c>
      <c r="M21" s="182">
        <f>L21*I21</f>
        <v>57.7</v>
      </c>
      <c r="N21" s="46" t="s">
        <v>349</v>
      </c>
      <c r="O21" s="49"/>
      <c r="Q21" s="18"/>
      <c r="R21" s="18">
        <v>29195</v>
      </c>
      <c r="S21" s="18">
        <v>57452</v>
      </c>
      <c r="T21" s="31">
        <v>76794</v>
      </c>
      <c r="U21" s="24"/>
      <c r="V21" s="18"/>
      <c r="W21" s="18"/>
      <c r="X21" s="23"/>
      <c r="Y21" s="24"/>
      <c r="Z21" s="23"/>
      <c r="AA21" s="18"/>
      <c r="AB21"/>
      <c r="AC21"/>
      <c r="AD21"/>
      <c r="AE21"/>
    </row>
    <row r="22" spans="1:246" s="29" customFormat="1" ht="15.75" x14ac:dyDescent="0.15">
      <c r="A22" s="3">
        <v>7</v>
      </c>
      <c r="B22" s="4" t="s">
        <v>328</v>
      </c>
      <c r="C22" s="3">
        <v>6400</v>
      </c>
      <c r="D22" s="3" t="s">
        <v>67</v>
      </c>
      <c r="E22" s="186" t="s">
        <v>366</v>
      </c>
      <c r="F22" s="3" t="s">
        <v>280</v>
      </c>
      <c r="G22" s="22">
        <f>2*Q16</f>
        <v>14</v>
      </c>
      <c r="H22" s="5">
        <v>0</v>
      </c>
      <c r="I22" s="5">
        <f t="shared" ref="I22:I25" si="6">G22+H22</f>
        <v>14</v>
      </c>
      <c r="J22" s="5"/>
      <c r="K22" s="5"/>
      <c r="L22" s="182">
        <v>22.64</v>
      </c>
      <c r="M22" s="182">
        <f t="shared" ref="M22:M24" si="7">L22*C22*I22/1000</f>
        <v>2028.5440000000001</v>
      </c>
      <c r="N22" s="46" t="s">
        <v>349</v>
      </c>
      <c r="O22" s="82"/>
      <c r="P22" s="28"/>
      <c r="Q22" s="20"/>
      <c r="R22" s="20"/>
      <c r="S22" s="20"/>
      <c r="U22" s="25"/>
      <c r="V22" s="20"/>
      <c r="W22" s="20"/>
      <c r="X22" s="20"/>
      <c r="Y22" s="19"/>
      <c r="Z22" s="25"/>
      <c r="AA22"/>
      <c r="AB22"/>
      <c r="AC22"/>
      <c r="AD22"/>
      <c r="AE22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</row>
    <row r="23" spans="1:246" s="29" customFormat="1" ht="15.75" x14ac:dyDescent="0.15">
      <c r="A23" s="3">
        <v>8</v>
      </c>
      <c r="B23" s="40" t="s">
        <v>329</v>
      </c>
      <c r="C23" s="3">
        <v>1000</v>
      </c>
      <c r="D23" s="3" t="s">
        <v>67</v>
      </c>
      <c r="E23" s="186" t="s">
        <v>366</v>
      </c>
      <c r="F23" s="3" t="s">
        <v>344</v>
      </c>
      <c r="G23" s="22">
        <f>13*Q16</f>
        <v>91</v>
      </c>
      <c r="H23" s="5">
        <v>0</v>
      </c>
      <c r="I23" s="5">
        <f t="shared" si="6"/>
        <v>91</v>
      </c>
      <c r="J23" s="5"/>
      <c r="K23" s="5"/>
      <c r="L23" s="182">
        <v>14.04</v>
      </c>
      <c r="M23" s="182">
        <f>L23*I23</f>
        <v>1277.6399999999999</v>
      </c>
      <c r="N23" s="46" t="s">
        <v>349</v>
      </c>
      <c r="O23" s="61"/>
      <c r="P23" s="28"/>
      <c r="Q23" s="20"/>
      <c r="R23" s="20"/>
      <c r="S23" s="20"/>
      <c r="U23" s="25"/>
      <c r="V23" s="20"/>
      <c r="W23" s="20"/>
      <c r="X23" s="20"/>
      <c r="Y23" s="19"/>
      <c r="Z23" s="25"/>
      <c r="AA23"/>
      <c r="AB23"/>
      <c r="AC23"/>
      <c r="AD23"/>
      <c r="AE23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</row>
    <row r="24" spans="1:246" s="29" customFormat="1" ht="15.75" x14ac:dyDescent="0.15">
      <c r="A24" s="3">
        <v>9</v>
      </c>
      <c r="B24" s="40" t="s">
        <v>330</v>
      </c>
      <c r="C24" s="3">
        <v>5500</v>
      </c>
      <c r="D24" s="3" t="s">
        <v>67</v>
      </c>
      <c r="E24" s="186" t="s">
        <v>366</v>
      </c>
      <c r="F24" s="3" t="s">
        <v>280</v>
      </c>
      <c r="G24" s="22">
        <f>2</f>
        <v>2</v>
      </c>
      <c r="H24" s="5">
        <v>0</v>
      </c>
      <c r="I24" s="5">
        <f t="shared" si="6"/>
        <v>2</v>
      </c>
      <c r="J24" s="5"/>
      <c r="K24" s="5"/>
      <c r="L24" s="182">
        <v>22.64</v>
      </c>
      <c r="M24" s="182">
        <f t="shared" si="7"/>
        <v>249.04</v>
      </c>
      <c r="N24" s="46" t="s">
        <v>349</v>
      </c>
      <c r="O24" s="50"/>
      <c r="P24" s="28"/>
      <c r="Q24" s="20"/>
      <c r="R24" s="20"/>
      <c r="S24" s="20"/>
      <c r="T24" s="25"/>
      <c r="U24" s="25"/>
      <c r="V24" s="20"/>
      <c r="W24" s="20"/>
      <c r="X24" s="20"/>
      <c r="Y24" s="19"/>
      <c r="Z24" s="25"/>
      <c r="AA24"/>
      <c r="AB24"/>
      <c r="AC24"/>
      <c r="AD24"/>
      <c r="AE24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</row>
    <row r="25" spans="1:246" s="29" customFormat="1" ht="15.75" x14ac:dyDescent="0.15">
      <c r="A25" s="3">
        <v>10</v>
      </c>
      <c r="B25" s="40" t="s">
        <v>331</v>
      </c>
      <c r="C25" s="3">
        <v>1000</v>
      </c>
      <c r="D25" s="3" t="s">
        <v>67</v>
      </c>
      <c r="E25" s="186" t="s">
        <v>366</v>
      </c>
      <c r="F25" s="3" t="s">
        <v>344</v>
      </c>
      <c r="G25" s="22">
        <f>13</f>
        <v>13</v>
      </c>
      <c r="H25" s="5">
        <v>0</v>
      </c>
      <c r="I25" s="5">
        <f t="shared" si="6"/>
        <v>13</v>
      </c>
      <c r="J25" s="5"/>
      <c r="K25" s="5"/>
      <c r="L25" s="182">
        <v>14.04</v>
      </c>
      <c r="M25" s="182">
        <f>L25*I25</f>
        <v>182.51999999999998</v>
      </c>
      <c r="N25" s="46" t="s">
        <v>349</v>
      </c>
      <c r="O25" s="50"/>
      <c r="P25" s="31"/>
      <c r="Q25" s="20"/>
      <c r="R25" s="20"/>
      <c r="S25" s="20"/>
      <c r="T25" s="25"/>
      <c r="U25" s="25"/>
      <c r="V25" s="20"/>
      <c r="W25" s="20"/>
      <c r="X25" s="20"/>
      <c r="Y25" s="19"/>
      <c r="Z25" s="25"/>
      <c r="AA25"/>
      <c r="AB25"/>
      <c r="AC25"/>
      <c r="AD25"/>
      <c r="AE25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</row>
    <row r="26" spans="1:246" s="29" customFormat="1" ht="14.25" x14ac:dyDescent="0.15">
      <c r="A26" s="3">
        <v>11</v>
      </c>
      <c r="B26" s="4" t="s">
        <v>334</v>
      </c>
      <c r="C26" s="3">
        <v>600</v>
      </c>
      <c r="D26" s="3" t="s">
        <v>235</v>
      </c>
      <c r="E26" s="186" t="s">
        <v>366</v>
      </c>
      <c r="F26" s="3" t="s">
        <v>345</v>
      </c>
      <c r="G26" s="22">
        <f>G16+G17</f>
        <v>4</v>
      </c>
      <c r="H26" s="5">
        <v>0</v>
      </c>
      <c r="I26" s="5">
        <f>G26+H26</f>
        <v>4</v>
      </c>
      <c r="J26" s="5"/>
      <c r="K26" s="5"/>
      <c r="L26" s="182">
        <v>37.68</v>
      </c>
      <c r="M26" s="182">
        <f t="shared" ref="M26:M37" si="8">L26*I26</f>
        <v>150.72</v>
      </c>
      <c r="N26" s="46" t="s">
        <v>349</v>
      </c>
      <c r="O26" s="23"/>
      <c r="P26" s="3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</row>
    <row r="27" spans="1:246" s="29" customFormat="1" ht="14.25" x14ac:dyDescent="0.15">
      <c r="A27" s="3">
        <v>12</v>
      </c>
      <c r="B27" s="4" t="s">
        <v>333</v>
      </c>
      <c r="C27" s="3">
        <v>70</v>
      </c>
      <c r="D27" s="3" t="s">
        <v>235</v>
      </c>
      <c r="E27" s="186" t="s">
        <v>366</v>
      </c>
      <c r="F27" s="3" t="s">
        <v>345</v>
      </c>
      <c r="G27" s="22">
        <f>G26*6</f>
        <v>24</v>
      </c>
      <c r="H27" s="5">
        <v>0</v>
      </c>
      <c r="I27" s="5">
        <f t="shared" ref="I27:I31" si="9">G27+H27</f>
        <v>24</v>
      </c>
      <c r="J27" s="5"/>
      <c r="K27" s="5"/>
      <c r="L27" s="182">
        <v>0.154</v>
      </c>
      <c r="M27" s="182">
        <f t="shared" si="8"/>
        <v>3.6959999999999997</v>
      </c>
      <c r="N27" s="9"/>
      <c r="O27" s="23"/>
      <c r="P27" s="3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</row>
    <row r="28" spans="1:246" s="29" customFormat="1" ht="14.25" x14ac:dyDescent="0.15">
      <c r="A28" s="3">
        <v>13</v>
      </c>
      <c r="B28" s="40" t="s">
        <v>332</v>
      </c>
      <c r="C28" s="3">
        <v>250</v>
      </c>
      <c r="D28" s="3" t="s">
        <v>235</v>
      </c>
      <c r="E28" s="186" t="s">
        <v>366</v>
      </c>
      <c r="F28" s="3" t="s">
        <v>345</v>
      </c>
      <c r="G28" s="22">
        <f>G26*4</f>
        <v>16</v>
      </c>
      <c r="H28" s="5">
        <v>0</v>
      </c>
      <c r="I28" s="5">
        <f t="shared" si="9"/>
        <v>16</v>
      </c>
      <c r="J28" s="5"/>
      <c r="K28" s="5"/>
      <c r="L28" s="182">
        <v>2.355</v>
      </c>
      <c r="M28" s="182">
        <f t="shared" si="8"/>
        <v>37.68</v>
      </c>
      <c r="N28" s="16"/>
      <c r="O28" s="23"/>
      <c r="P28" s="3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</row>
    <row r="29" spans="1:246" ht="27" x14ac:dyDescent="0.15">
      <c r="A29" s="3">
        <v>14</v>
      </c>
      <c r="B29" s="40" t="s">
        <v>335</v>
      </c>
      <c r="C29" s="3"/>
      <c r="D29" s="3" t="s">
        <v>235</v>
      </c>
      <c r="E29" s="186" t="s">
        <v>366</v>
      </c>
      <c r="F29" s="3" t="s">
        <v>346</v>
      </c>
      <c r="G29" s="22">
        <f>G27</f>
        <v>24</v>
      </c>
      <c r="H29" s="5">
        <v>0</v>
      </c>
      <c r="I29" s="5">
        <f t="shared" si="9"/>
        <v>24</v>
      </c>
      <c r="J29" s="5"/>
      <c r="K29" s="5"/>
      <c r="L29" s="182">
        <f>2.79+0.089*2+0.031+0.01</f>
        <v>3.0089999999999999</v>
      </c>
      <c r="M29" s="182">
        <f t="shared" si="8"/>
        <v>72.215999999999994</v>
      </c>
      <c r="N29" s="181" t="s">
        <v>343</v>
      </c>
    </row>
    <row r="30" spans="1:246" ht="14.25" x14ac:dyDescent="0.15">
      <c r="A30" s="3">
        <v>15</v>
      </c>
      <c r="B30" s="40" t="s">
        <v>336</v>
      </c>
      <c r="C30" s="3">
        <v>280</v>
      </c>
      <c r="D30" s="3" t="s">
        <v>235</v>
      </c>
      <c r="E30" s="186" t="s">
        <v>366</v>
      </c>
      <c r="F30" s="3" t="s">
        <v>345</v>
      </c>
      <c r="G30" s="22">
        <v>2</v>
      </c>
      <c r="H30" s="5">
        <v>0</v>
      </c>
      <c r="I30" s="5">
        <f t="shared" si="9"/>
        <v>2</v>
      </c>
      <c r="J30" s="5"/>
      <c r="K30" s="5"/>
      <c r="L30" s="182">
        <v>7.0339999999999998</v>
      </c>
      <c r="M30" s="182">
        <f t="shared" si="8"/>
        <v>14.068</v>
      </c>
      <c r="N30" s="37"/>
      <c r="R30" s="31" t="s">
        <v>65</v>
      </c>
      <c r="S30" s="83" t="e">
        <f>O22+#REF!+#REF!</f>
        <v>#REF!</v>
      </c>
    </row>
    <row r="31" spans="1:246" ht="15.75" x14ac:dyDescent="0.15">
      <c r="A31" s="3">
        <v>16</v>
      </c>
      <c r="B31" s="40" t="s">
        <v>337</v>
      </c>
      <c r="C31" s="3">
        <v>400</v>
      </c>
      <c r="D31" s="3" t="s">
        <v>235</v>
      </c>
      <c r="E31" s="186" t="s">
        <v>366</v>
      </c>
      <c r="F31" s="3" t="s">
        <v>345</v>
      </c>
      <c r="G31" s="22">
        <f>G30*6</f>
        <v>12</v>
      </c>
      <c r="H31" s="5">
        <v>0</v>
      </c>
      <c r="I31" s="5">
        <f t="shared" si="9"/>
        <v>12</v>
      </c>
      <c r="J31" s="5"/>
      <c r="K31" s="5"/>
      <c r="L31" s="182">
        <v>0.158</v>
      </c>
      <c r="M31" s="182">
        <f t="shared" si="8"/>
        <v>1.8959999999999999</v>
      </c>
      <c r="N31" s="37"/>
    </row>
    <row r="32" spans="1:246" ht="15" x14ac:dyDescent="0.15">
      <c r="A32" s="3">
        <v>17</v>
      </c>
      <c r="B32" s="4" t="s">
        <v>338</v>
      </c>
      <c r="C32" s="3">
        <v>1050</v>
      </c>
      <c r="D32" s="3" t="s">
        <v>67</v>
      </c>
      <c r="E32" s="186" t="s">
        <v>366</v>
      </c>
      <c r="F32" s="3" t="s">
        <v>280</v>
      </c>
      <c r="G32" s="22">
        <f>G20*4+G21*2+G22*4+G24*3</f>
        <v>92</v>
      </c>
      <c r="H32" s="5">
        <v>0</v>
      </c>
      <c r="I32" s="5">
        <f>G32+H32</f>
        <v>92</v>
      </c>
      <c r="J32" s="5"/>
      <c r="K32" s="5"/>
      <c r="L32" s="182">
        <v>3.6509999999999998</v>
      </c>
      <c r="M32" s="182">
        <f t="shared" si="8"/>
        <v>335.892</v>
      </c>
      <c r="N32" s="46" t="s">
        <v>349</v>
      </c>
    </row>
    <row r="33" spans="1:15" ht="15" x14ac:dyDescent="0.15">
      <c r="A33" s="3">
        <v>18</v>
      </c>
      <c r="B33" s="4" t="s">
        <v>339</v>
      </c>
      <c r="C33" s="3">
        <v>1000</v>
      </c>
      <c r="D33" s="3" t="s">
        <v>67</v>
      </c>
      <c r="E33" s="186" t="s">
        <v>366</v>
      </c>
      <c r="F33" s="3" t="s">
        <v>280</v>
      </c>
      <c r="G33" s="22">
        <f>G32*2</f>
        <v>184</v>
      </c>
      <c r="H33" s="5">
        <v>0</v>
      </c>
      <c r="I33" s="5">
        <f t="shared" ref="I33:I35" si="10">G33+H33</f>
        <v>184</v>
      </c>
      <c r="J33" s="5"/>
      <c r="K33" s="5"/>
      <c r="L33" s="182">
        <v>1.998</v>
      </c>
      <c r="M33" s="182">
        <f t="shared" si="8"/>
        <v>367.63200000000001</v>
      </c>
      <c r="N33" s="46" t="s">
        <v>349</v>
      </c>
    </row>
    <row r="34" spans="1:15" ht="15.75" x14ac:dyDescent="0.15">
      <c r="A34" s="3">
        <v>19</v>
      </c>
      <c r="B34" s="40" t="s">
        <v>340</v>
      </c>
      <c r="C34" s="3">
        <v>1050</v>
      </c>
      <c r="D34" s="3" t="s">
        <v>67</v>
      </c>
      <c r="E34" s="186" t="s">
        <v>366</v>
      </c>
      <c r="F34" s="3" t="s">
        <v>280</v>
      </c>
      <c r="G34" s="22">
        <f>G32+2</f>
        <v>94</v>
      </c>
      <c r="H34" s="5">
        <v>0</v>
      </c>
      <c r="I34" s="5">
        <f t="shared" si="10"/>
        <v>94</v>
      </c>
      <c r="J34" s="5"/>
      <c r="K34" s="5"/>
      <c r="L34" s="182">
        <v>3.129</v>
      </c>
      <c r="M34" s="182">
        <f t="shared" si="8"/>
        <v>294.12599999999998</v>
      </c>
      <c r="N34" s="46" t="s">
        <v>349</v>
      </c>
    </row>
    <row r="35" spans="1:15" ht="14.25" x14ac:dyDescent="0.15">
      <c r="A35" s="3">
        <v>20</v>
      </c>
      <c r="B35" s="40" t="s">
        <v>341</v>
      </c>
      <c r="C35" s="3">
        <v>1000</v>
      </c>
      <c r="D35" s="3" t="s">
        <v>67</v>
      </c>
      <c r="E35" s="186" t="s">
        <v>366</v>
      </c>
      <c r="F35" s="3" t="s">
        <v>280</v>
      </c>
      <c r="G35" s="22">
        <f>G32</f>
        <v>92</v>
      </c>
      <c r="H35" s="5">
        <v>0</v>
      </c>
      <c r="I35" s="5">
        <f t="shared" si="10"/>
        <v>92</v>
      </c>
      <c r="J35" s="5"/>
      <c r="K35" s="5"/>
      <c r="L35" s="182">
        <v>2.355</v>
      </c>
      <c r="M35" s="182">
        <f t="shared" si="8"/>
        <v>216.66</v>
      </c>
      <c r="N35" s="46" t="s">
        <v>349</v>
      </c>
    </row>
    <row r="36" spans="1:15" ht="15" x14ac:dyDescent="0.15">
      <c r="A36" s="3">
        <v>21</v>
      </c>
      <c r="B36" s="93" t="s">
        <v>304</v>
      </c>
      <c r="C36" s="184"/>
      <c r="D36" s="38"/>
      <c r="E36" s="9" t="s">
        <v>303</v>
      </c>
      <c r="F36" s="52" t="s">
        <v>308</v>
      </c>
      <c r="G36" s="105">
        <f>(4.2*1.2*0.5+0.7*0.5*0.6*2)*2+(0.5*0.4*1.6)</f>
        <v>6.2</v>
      </c>
      <c r="H36" s="95">
        <f>G36*0.003</f>
        <v>1.8600000000000002E-2</v>
      </c>
      <c r="I36" s="95">
        <f t="shared" ref="I36:I40" si="11">H36+G36</f>
        <v>6.2186000000000003</v>
      </c>
      <c r="J36" s="41"/>
      <c r="K36" s="16"/>
      <c r="L36" s="106">
        <v>0</v>
      </c>
      <c r="M36" s="182">
        <f t="shared" si="8"/>
        <v>0</v>
      </c>
      <c r="N36" s="112"/>
      <c r="O36" s="83" t="e">
        <f>SUM(M41,#REF!,#REF!,M14,#REF!,#REF!)</f>
        <v>#REF!</v>
      </c>
    </row>
    <row r="37" spans="1:15" ht="15" x14ac:dyDescent="0.15">
      <c r="A37" s="3">
        <v>22</v>
      </c>
      <c r="B37" s="93" t="s">
        <v>305</v>
      </c>
      <c r="C37" s="184"/>
      <c r="D37" s="38"/>
      <c r="E37" s="9" t="s">
        <v>309</v>
      </c>
      <c r="F37" s="52" t="s">
        <v>308</v>
      </c>
      <c r="G37" s="105">
        <f>(4.4*1.4*0.1+0.7*0.5*0.1)*4+(0.7*1.8*0.1)</f>
        <v>2.7300000000000004</v>
      </c>
      <c r="H37" s="95">
        <f>G37*0.003</f>
        <v>8.1900000000000011E-3</v>
      </c>
      <c r="I37" s="95">
        <f t="shared" si="11"/>
        <v>2.7381900000000003</v>
      </c>
      <c r="J37" s="41"/>
      <c r="K37" s="16"/>
      <c r="L37" s="106">
        <v>0</v>
      </c>
      <c r="M37" s="182">
        <f t="shared" si="8"/>
        <v>0</v>
      </c>
      <c r="N37" s="112"/>
    </row>
    <row r="38" spans="1:15" ht="15" x14ac:dyDescent="0.15">
      <c r="A38" s="3">
        <v>23</v>
      </c>
      <c r="B38" s="93" t="s">
        <v>300</v>
      </c>
      <c r="C38" s="184"/>
      <c r="D38" s="38"/>
      <c r="E38" s="9" t="s">
        <v>306</v>
      </c>
      <c r="F38" s="52" t="s">
        <v>307</v>
      </c>
      <c r="G38" s="105">
        <f>(0.7*4+0.5*5)*4*11</f>
        <v>233.2</v>
      </c>
      <c r="H38" s="95">
        <v>2</v>
      </c>
      <c r="I38" s="95">
        <f t="shared" si="11"/>
        <v>235.2</v>
      </c>
      <c r="J38" s="41"/>
      <c r="K38" s="16"/>
      <c r="L38" s="106">
        <v>0.39500000000000002</v>
      </c>
      <c r="M38" s="97">
        <f>I38*L38</f>
        <v>92.903999999999996</v>
      </c>
      <c r="N38" s="112"/>
    </row>
    <row r="39" spans="1:15" ht="15" x14ac:dyDescent="0.15">
      <c r="A39" s="3">
        <v>24</v>
      </c>
      <c r="B39" s="93" t="s">
        <v>301</v>
      </c>
      <c r="C39" s="184"/>
      <c r="D39" s="38"/>
      <c r="E39" s="9" t="s">
        <v>306</v>
      </c>
      <c r="F39" s="52" t="s">
        <v>307</v>
      </c>
      <c r="G39" s="105">
        <f>(4.2*9+1.2*29+5.2*9+2.2*29)*2+(4*1.6+11*0.5)</f>
        <v>378.3</v>
      </c>
      <c r="H39" s="95">
        <v>2</v>
      </c>
      <c r="I39" s="95">
        <f t="shared" si="11"/>
        <v>380.3</v>
      </c>
      <c r="J39" s="41"/>
      <c r="K39" s="16"/>
      <c r="L39" s="106">
        <v>0.88800000000000001</v>
      </c>
      <c r="M39" s="97">
        <f>5600*I39*L39/1000</f>
        <v>1891.1558400000001</v>
      </c>
      <c r="N39" s="112"/>
    </row>
    <row r="40" spans="1:15" ht="15" x14ac:dyDescent="0.15">
      <c r="A40" s="3">
        <v>25</v>
      </c>
      <c r="B40" s="93" t="s">
        <v>351</v>
      </c>
      <c r="C40" s="184"/>
      <c r="D40" s="38"/>
      <c r="E40" s="9" t="s">
        <v>306</v>
      </c>
      <c r="F40" s="52" t="s">
        <v>307</v>
      </c>
      <c r="G40" s="105">
        <f>(1.1+0.15)*4*14</f>
        <v>70</v>
      </c>
      <c r="H40" s="95">
        <v>0</v>
      </c>
      <c r="I40" s="95">
        <f t="shared" si="11"/>
        <v>70</v>
      </c>
      <c r="J40" s="41"/>
      <c r="K40" s="16"/>
      <c r="L40" s="106">
        <v>2.4660000000000002</v>
      </c>
      <c r="M40" s="97">
        <f>5600*I40*L40/1000</f>
        <v>966.67200000000014</v>
      </c>
      <c r="N40" s="112"/>
    </row>
    <row r="41" spans="1:15" ht="14.25" x14ac:dyDescent="0.15">
      <c r="A41" s="3"/>
      <c r="B41" s="4" t="s">
        <v>23</v>
      </c>
      <c r="C41" s="41"/>
      <c r="D41" s="41"/>
      <c r="E41" s="3"/>
      <c r="F41" s="4"/>
      <c r="G41" s="5"/>
      <c r="H41" s="5"/>
      <c r="I41" s="5"/>
      <c r="J41" s="5"/>
      <c r="K41" s="5"/>
      <c r="L41" s="47"/>
      <c r="M41" s="48">
        <f>SUM(M16:M40)</f>
        <v>13899.24768</v>
      </c>
      <c r="N41" s="16"/>
    </row>
    <row r="42" spans="1:15" x14ac:dyDescent="0.15">
      <c r="A42" s="8" t="s">
        <v>27</v>
      </c>
      <c r="B42" s="210" t="s">
        <v>28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2"/>
    </row>
    <row r="43" spans="1:15" x14ac:dyDescent="0.15">
      <c r="A43" s="8"/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5"/>
    </row>
    <row r="44" spans="1:15" ht="34.5" customHeight="1" x14ac:dyDescent="0.15">
      <c r="A44" s="53"/>
      <c r="B44" s="216" t="s">
        <v>365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7"/>
      <c r="N44" s="216"/>
    </row>
    <row r="45" spans="1:15" x14ac:dyDescent="0.15">
      <c r="A45" s="9"/>
      <c r="B45" s="218" t="s">
        <v>29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20"/>
    </row>
    <row r="46" spans="1:15" x14ac:dyDescent="0.15">
      <c r="A46" s="9"/>
      <c r="B46" s="218" t="s">
        <v>68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20"/>
    </row>
    <row r="47" spans="1:15" x14ac:dyDescent="0.15">
      <c r="A47" s="9"/>
      <c r="B47" s="221" t="s">
        <v>350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3"/>
      <c r="N47" s="224"/>
    </row>
    <row r="48" spans="1:15" x14ac:dyDescent="0.15">
      <c r="A48" s="206" t="s">
        <v>30</v>
      </c>
      <c r="B48" s="201"/>
      <c r="C48" s="203" t="s">
        <v>31</v>
      </c>
      <c r="D48" s="208"/>
      <c r="E48" s="208"/>
      <c r="F48" s="208"/>
      <c r="G48" s="201"/>
      <c r="H48" s="210" t="s">
        <v>32</v>
      </c>
      <c r="I48" s="211"/>
      <c r="J48" s="211"/>
      <c r="K48" s="211"/>
      <c r="L48" s="211"/>
      <c r="M48" s="211"/>
      <c r="N48" s="212"/>
    </row>
    <row r="49" spans="1:20" x14ac:dyDescent="0.15">
      <c r="A49" s="207"/>
      <c r="B49" s="202"/>
      <c r="C49" s="204"/>
      <c r="D49" s="209"/>
      <c r="E49" s="209"/>
      <c r="F49" s="209"/>
      <c r="G49" s="202"/>
      <c r="H49" s="213"/>
      <c r="I49" s="214"/>
      <c r="J49" s="214"/>
      <c r="K49" s="214"/>
      <c r="L49" s="214"/>
      <c r="M49" s="214"/>
      <c r="N49" s="215"/>
    </row>
    <row r="50" spans="1:20" ht="30" customHeight="1" x14ac:dyDescent="0.15">
      <c r="A50" s="183" t="s">
        <v>33</v>
      </c>
      <c r="B50" s="54"/>
      <c r="C50" s="10" t="s">
        <v>34</v>
      </c>
      <c r="D50" s="187"/>
      <c r="E50" s="187"/>
      <c r="F50" s="187"/>
      <c r="G50" s="188"/>
      <c r="H50" s="189"/>
      <c r="I50" s="187"/>
      <c r="J50" s="187"/>
      <c r="K50" s="187"/>
      <c r="L50" s="187"/>
      <c r="M50" s="187"/>
      <c r="N50" s="188"/>
      <c r="T50" s="31" t="e">
        <f>#REF!+#REF!</f>
        <v>#REF!</v>
      </c>
    </row>
    <row r="51" spans="1:20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20" x14ac:dyDescent="0.15">
      <c r="A52" s="23"/>
      <c r="B52" s="55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8" spans="1:20" ht="14.25" x14ac:dyDescent="0.15">
      <c r="S58" s="67"/>
      <c r="T58" s="67"/>
    </row>
    <row r="61" spans="1:20" hidden="1" x14ac:dyDescent="0.15">
      <c r="O61" s="62" t="s">
        <v>35</v>
      </c>
      <c r="P61" s="62" t="s">
        <v>36</v>
      </c>
      <c r="Q61" s="27"/>
      <c r="R61" s="70" t="s">
        <v>37</v>
      </c>
    </row>
    <row r="62" spans="1:20" ht="40.5" hidden="1" x14ac:dyDescent="0.15">
      <c r="O62" s="6" t="s">
        <v>38</v>
      </c>
      <c r="P62" s="6" t="s">
        <v>39</v>
      </c>
      <c r="Q62" s="26" t="s">
        <v>40</v>
      </c>
      <c r="R62" s="7" t="s">
        <v>41</v>
      </c>
    </row>
    <row r="63" spans="1:20" hidden="1" x14ac:dyDescent="0.15">
      <c r="O63" s="22">
        <f t="shared" ref="O63:O75" si="12">E68+F68</f>
        <v>60</v>
      </c>
      <c r="P63" s="22">
        <f t="shared" ref="P63:P69" si="13">M68*2</f>
        <v>240</v>
      </c>
      <c r="Q63" s="22">
        <f t="shared" ref="Q63:Q75" si="14">M68</f>
        <v>120</v>
      </c>
      <c r="R63" s="71">
        <f t="shared" ref="R63:R75" si="15">L68*2</f>
        <v>0</v>
      </c>
    </row>
    <row r="64" spans="1:20" hidden="1" x14ac:dyDescent="0.15">
      <c r="B64" s="55" t="s">
        <v>42</v>
      </c>
      <c r="O64" s="22">
        <f t="shared" si="12"/>
        <v>444</v>
      </c>
      <c r="P64" s="22">
        <f t="shared" si="13"/>
        <v>3552</v>
      </c>
      <c r="Q64" s="22">
        <f t="shared" si="14"/>
        <v>1776</v>
      </c>
      <c r="R64" s="71">
        <f t="shared" si="15"/>
        <v>0</v>
      </c>
    </row>
    <row r="65" spans="2:18" hidden="1" x14ac:dyDescent="0.15">
      <c r="O65" s="22">
        <f t="shared" si="12"/>
        <v>462</v>
      </c>
      <c r="P65" s="22">
        <f t="shared" si="13"/>
        <v>4620</v>
      </c>
      <c r="Q65" s="22">
        <f t="shared" si="14"/>
        <v>2310</v>
      </c>
      <c r="R65" s="71">
        <f t="shared" si="15"/>
        <v>0</v>
      </c>
    </row>
    <row r="66" spans="2:18" ht="27" hidden="1" x14ac:dyDescent="0.15">
      <c r="B66" s="27"/>
      <c r="C66" s="72" t="s">
        <v>43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63" t="s">
        <v>44</v>
      </c>
      <c r="O66" s="22">
        <f t="shared" si="12"/>
        <v>0</v>
      </c>
      <c r="P66" s="22">
        <f t="shared" si="13"/>
        <v>0</v>
      </c>
      <c r="Q66" s="22">
        <f t="shared" si="14"/>
        <v>0</v>
      </c>
      <c r="R66" s="71">
        <f t="shared" si="15"/>
        <v>0</v>
      </c>
    </row>
    <row r="67" spans="2:18" ht="15" hidden="1" x14ac:dyDescent="0.15">
      <c r="B67" s="9" t="s">
        <v>45</v>
      </c>
      <c r="C67" s="56" t="s">
        <v>46</v>
      </c>
      <c r="D67" s="56" t="s">
        <v>47</v>
      </c>
      <c r="E67" s="52" t="s">
        <v>48</v>
      </c>
      <c r="F67" s="52" t="s">
        <v>49</v>
      </c>
      <c r="G67" s="56" t="s">
        <v>50</v>
      </c>
      <c r="H67" s="56" t="s">
        <v>51</v>
      </c>
      <c r="I67" s="10" t="s">
        <v>52</v>
      </c>
      <c r="J67" s="10"/>
      <c r="K67" s="10"/>
      <c r="L67" s="9" t="s">
        <v>19</v>
      </c>
      <c r="M67" s="10" t="s">
        <v>53</v>
      </c>
      <c r="N67" s="64" t="s">
        <v>54</v>
      </c>
      <c r="O67" s="22">
        <f t="shared" si="12"/>
        <v>0</v>
      </c>
      <c r="P67" s="22">
        <f t="shared" si="13"/>
        <v>0</v>
      </c>
      <c r="Q67" s="22">
        <f t="shared" si="14"/>
        <v>0</v>
      </c>
      <c r="R67" s="71">
        <f t="shared" si="15"/>
        <v>0</v>
      </c>
    </row>
    <row r="68" spans="2:18" ht="15" hidden="1" x14ac:dyDescent="0.15">
      <c r="B68" s="56"/>
      <c r="C68" s="56">
        <v>30</v>
      </c>
      <c r="D68" s="56">
        <f>B68*C68</f>
        <v>0</v>
      </c>
      <c r="E68" s="52">
        <f>(B68-1)*2*C68</f>
        <v>-60</v>
      </c>
      <c r="F68" s="52">
        <f t="shared" ref="F68:F80" si="16">4*C68</f>
        <v>120</v>
      </c>
      <c r="G68" s="56">
        <f t="shared" ref="G68:G80" si="17">C68*2</f>
        <v>60</v>
      </c>
      <c r="H68" s="56">
        <v>1300</v>
      </c>
      <c r="I68" s="10">
        <v>1300</v>
      </c>
      <c r="J68" s="10"/>
      <c r="K68" s="10"/>
      <c r="L68" s="52">
        <f>G68*0</f>
        <v>0</v>
      </c>
      <c r="M68" s="10">
        <f>N68*G68</f>
        <v>120</v>
      </c>
      <c r="N68" s="22">
        <v>2</v>
      </c>
      <c r="O68" s="22">
        <f t="shared" si="12"/>
        <v>0</v>
      </c>
      <c r="P68" s="22">
        <f t="shared" si="13"/>
        <v>0</v>
      </c>
      <c r="Q68" s="22">
        <f t="shared" si="14"/>
        <v>0</v>
      </c>
      <c r="R68" s="71">
        <f t="shared" si="15"/>
        <v>0</v>
      </c>
    </row>
    <row r="69" spans="2:18" ht="15" hidden="1" x14ac:dyDescent="0.15">
      <c r="B69" s="56"/>
      <c r="C69" s="56">
        <v>222</v>
      </c>
      <c r="D69" s="56">
        <f>B69*C69</f>
        <v>0</v>
      </c>
      <c r="E69" s="52">
        <f>(B69-1)*2*C69</f>
        <v>-444</v>
      </c>
      <c r="F69" s="52">
        <f t="shared" si="16"/>
        <v>888</v>
      </c>
      <c r="G69" s="56">
        <f t="shared" si="17"/>
        <v>444</v>
      </c>
      <c r="H69" s="56">
        <v>2600</v>
      </c>
      <c r="I69" s="10">
        <v>2600</v>
      </c>
      <c r="J69" s="10"/>
      <c r="K69" s="10"/>
      <c r="L69" s="52">
        <f>G69*0</f>
        <v>0</v>
      </c>
      <c r="M69" s="10">
        <f t="shared" ref="M69:M80" si="18">N69*G69</f>
        <v>1776</v>
      </c>
      <c r="N69" s="22">
        <v>4</v>
      </c>
      <c r="O69" s="22">
        <f t="shared" si="12"/>
        <v>0</v>
      </c>
      <c r="P69" s="22">
        <f t="shared" si="13"/>
        <v>0</v>
      </c>
      <c r="Q69" s="22">
        <f t="shared" si="14"/>
        <v>0</v>
      </c>
      <c r="R69" s="71">
        <f t="shared" si="15"/>
        <v>0</v>
      </c>
    </row>
    <row r="70" spans="2:18" ht="15" hidden="1" x14ac:dyDescent="0.15">
      <c r="B70" s="56"/>
      <c r="C70" s="56">
        <v>231</v>
      </c>
      <c r="D70" s="56">
        <f t="shared" ref="D70:D80" si="19">B70*C70</f>
        <v>0</v>
      </c>
      <c r="E70" s="52">
        <f>(B70-1)*2*C70</f>
        <v>-462</v>
      </c>
      <c r="F70" s="52">
        <f t="shared" si="16"/>
        <v>924</v>
      </c>
      <c r="G70" s="56">
        <f t="shared" si="17"/>
        <v>462</v>
      </c>
      <c r="H70" s="56">
        <v>3700</v>
      </c>
      <c r="I70" s="10">
        <v>3700</v>
      </c>
      <c r="J70" s="10"/>
      <c r="K70" s="10"/>
      <c r="L70" s="52">
        <f>G70*0</f>
        <v>0</v>
      </c>
      <c r="M70" s="10">
        <f t="shared" si="18"/>
        <v>2310</v>
      </c>
      <c r="N70" s="22">
        <v>5</v>
      </c>
      <c r="O70" s="22">
        <f t="shared" si="12"/>
        <v>1068</v>
      </c>
      <c r="P70" s="22">
        <f>M75*0</f>
        <v>0</v>
      </c>
      <c r="Q70" s="22">
        <f t="shared" si="14"/>
        <v>1068</v>
      </c>
      <c r="R70" s="71">
        <f t="shared" si="15"/>
        <v>0</v>
      </c>
    </row>
    <row r="71" spans="2:18" ht="15" hidden="1" x14ac:dyDescent="0.15">
      <c r="B71" s="56"/>
      <c r="C71" s="56">
        <v>0</v>
      </c>
      <c r="D71" s="56">
        <f t="shared" si="19"/>
        <v>0</v>
      </c>
      <c r="E71" s="52">
        <f t="shared" ref="E71:E80" si="20">(B71-1)*2*C71</f>
        <v>0</v>
      </c>
      <c r="F71" s="52">
        <f t="shared" si="16"/>
        <v>0</v>
      </c>
      <c r="G71" s="56">
        <f t="shared" si="17"/>
        <v>0</v>
      </c>
      <c r="H71" s="56">
        <v>5000</v>
      </c>
      <c r="I71" s="10" t="s">
        <v>55</v>
      </c>
      <c r="J71" s="10"/>
      <c r="K71" s="10"/>
      <c r="L71" s="52">
        <f>1*G71</f>
        <v>0</v>
      </c>
      <c r="M71" s="10">
        <f t="shared" si="18"/>
        <v>0</v>
      </c>
      <c r="N71" s="22">
        <v>6</v>
      </c>
      <c r="O71" s="22">
        <f t="shared" si="12"/>
        <v>0</v>
      </c>
      <c r="P71" s="22">
        <f>M76*2</f>
        <v>0</v>
      </c>
      <c r="Q71" s="22">
        <f t="shared" si="14"/>
        <v>0</v>
      </c>
      <c r="R71" s="71">
        <f t="shared" si="15"/>
        <v>0</v>
      </c>
    </row>
    <row r="72" spans="2:18" ht="15" hidden="1" x14ac:dyDescent="0.15">
      <c r="B72" s="56"/>
      <c r="C72" s="56">
        <v>0</v>
      </c>
      <c r="D72" s="56">
        <f t="shared" si="19"/>
        <v>0</v>
      </c>
      <c r="E72" s="52">
        <f t="shared" si="20"/>
        <v>0</v>
      </c>
      <c r="F72" s="52">
        <f t="shared" si="16"/>
        <v>0</v>
      </c>
      <c r="G72" s="56">
        <f t="shared" si="17"/>
        <v>0</v>
      </c>
      <c r="H72" s="56">
        <v>7050</v>
      </c>
      <c r="I72" s="10" t="s">
        <v>56</v>
      </c>
      <c r="J72" s="10"/>
      <c r="K72" s="10"/>
      <c r="L72" s="52">
        <f>1*G72</f>
        <v>0</v>
      </c>
      <c r="M72" s="10">
        <f t="shared" si="18"/>
        <v>0</v>
      </c>
      <c r="N72" s="22">
        <v>8</v>
      </c>
      <c r="O72" s="22">
        <f t="shared" si="12"/>
        <v>0</v>
      </c>
      <c r="P72" s="22">
        <f>M77*2</f>
        <v>0</v>
      </c>
      <c r="Q72" s="22">
        <f t="shared" si="14"/>
        <v>0</v>
      </c>
      <c r="R72" s="71">
        <f t="shared" si="15"/>
        <v>0</v>
      </c>
    </row>
    <row r="73" spans="2:18" ht="15" hidden="1" x14ac:dyDescent="0.15">
      <c r="B73" s="56"/>
      <c r="C73" s="56">
        <v>0</v>
      </c>
      <c r="D73" s="56">
        <f t="shared" si="19"/>
        <v>0</v>
      </c>
      <c r="E73" s="52">
        <f t="shared" si="20"/>
        <v>0</v>
      </c>
      <c r="F73" s="52">
        <f t="shared" si="16"/>
        <v>0</v>
      </c>
      <c r="G73" s="56">
        <f t="shared" si="17"/>
        <v>0</v>
      </c>
      <c r="H73" s="56">
        <v>30250</v>
      </c>
      <c r="I73" s="10" t="s">
        <v>57</v>
      </c>
      <c r="J73" s="10"/>
      <c r="K73" s="10"/>
      <c r="L73" s="52">
        <f>1*G73</f>
        <v>0</v>
      </c>
      <c r="M73" s="10">
        <f t="shared" si="18"/>
        <v>0</v>
      </c>
      <c r="N73" s="22">
        <v>33</v>
      </c>
      <c r="O73" s="22">
        <f t="shared" si="12"/>
        <v>0</v>
      </c>
      <c r="P73" s="22">
        <f>M78*2</f>
        <v>0</v>
      </c>
      <c r="Q73" s="22">
        <f t="shared" si="14"/>
        <v>0</v>
      </c>
      <c r="R73" s="71">
        <f t="shared" si="15"/>
        <v>0</v>
      </c>
    </row>
    <row r="74" spans="2:18" ht="15" hidden="1" x14ac:dyDescent="0.15">
      <c r="B74" s="56"/>
      <c r="C74" s="56">
        <v>0</v>
      </c>
      <c r="D74" s="56">
        <f t="shared" si="19"/>
        <v>0</v>
      </c>
      <c r="E74" s="52">
        <f t="shared" si="20"/>
        <v>0</v>
      </c>
      <c r="F74" s="52">
        <f>4*D74</f>
        <v>0</v>
      </c>
      <c r="G74" s="56">
        <f t="shared" si="17"/>
        <v>0</v>
      </c>
      <c r="H74" s="56">
        <v>64450</v>
      </c>
      <c r="I74" s="10" t="s">
        <v>58</v>
      </c>
      <c r="J74" s="10"/>
      <c r="K74" s="10"/>
      <c r="L74" s="52">
        <f>1*G74</f>
        <v>0</v>
      </c>
      <c r="M74" s="10">
        <f t="shared" si="18"/>
        <v>0</v>
      </c>
      <c r="N74" s="22">
        <v>78</v>
      </c>
      <c r="O74" s="22">
        <f t="shared" si="12"/>
        <v>0</v>
      </c>
      <c r="P74" s="22">
        <f>M79*2</f>
        <v>0</v>
      </c>
      <c r="Q74" s="22">
        <f t="shared" si="14"/>
        <v>0</v>
      </c>
      <c r="R74" s="71">
        <f t="shared" si="15"/>
        <v>0</v>
      </c>
    </row>
    <row r="75" spans="2:18" ht="15" hidden="1" x14ac:dyDescent="0.15">
      <c r="B75" s="57"/>
      <c r="C75" s="57">
        <v>6</v>
      </c>
      <c r="D75" s="57">
        <f t="shared" si="19"/>
        <v>0</v>
      </c>
      <c r="E75" s="52">
        <v>0</v>
      </c>
      <c r="F75" s="58">
        <f>89*2*C75</f>
        <v>1068</v>
      </c>
      <c r="G75" s="57">
        <f>C75*89</f>
        <v>534</v>
      </c>
      <c r="H75" s="57">
        <v>1400</v>
      </c>
      <c r="I75" s="66">
        <v>1400</v>
      </c>
      <c r="J75" s="10"/>
      <c r="K75" s="10"/>
      <c r="L75" s="81">
        <v>0</v>
      </c>
      <c r="M75" s="65">
        <f t="shared" si="18"/>
        <v>1068</v>
      </c>
      <c r="N75" s="62">
        <v>2</v>
      </c>
      <c r="O75" s="22">
        <f t="shared" si="12"/>
        <v>0</v>
      </c>
      <c r="P75" s="22">
        <f>M80*2</f>
        <v>0</v>
      </c>
      <c r="Q75" s="22">
        <f t="shared" si="14"/>
        <v>0</v>
      </c>
      <c r="R75" s="71">
        <f t="shared" si="15"/>
        <v>0</v>
      </c>
    </row>
    <row r="76" spans="2:18" ht="15" hidden="1" x14ac:dyDescent="0.15">
      <c r="B76" s="79"/>
      <c r="C76" s="79">
        <v>0</v>
      </c>
      <c r="D76" s="56">
        <f t="shared" si="19"/>
        <v>0</v>
      </c>
      <c r="E76" s="52">
        <f t="shared" si="20"/>
        <v>0</v>
      </c>
      <c r="F76" s="52">
        <f t="shared" si="16"/>
        <v>0</v>
      </c>
      <c r="G76" s="80">
        <f t="shared" si="17"/>
        <v>0</v>
      </c>
      <c r="H76" s="80">
        <v>0</v>
      </c>
      <c r="I76" s="10" t="s">
        <v>59</v>
      </c>
      <c r="J76" s="10"/>
      <c r="K76" s="10"/>
      <c r="L76" s="81">
        <f>2*G76</f>
        <v>0</v>
      </c>
      <c r="M76" s="65">
        <f t="shared" si="18"/>
        <v>0</v>
      </c>
      <c r="N76" s="62">
        <v>0</v>
      </c>
      <c r="O76" s="67">
        <f t="shared" ref="O76:R76" si="21">SUM(O63:O75)</f>
        <v>2034</v>
      </c>
      <c r="P76" s="67">
        <f t="shared" si="21"/>
        <v>8412</v>
      </c>
      <c r="Q76" s="67">
        <f t="shared" si="21"/>
        <v>5274</v>
      </c>
      <c r="R76" s="67">
        <f t="shared" si="21"/>
        <v>0</v>
      </c>
    </row>
    <row r="77" spans="2:18" ht="15" hidden="1" x14ac:dyDescent="0.15">
      <c r="B77" s="79"/>
      <c r="C77" s="79">
        <v>0</v>
      </c>
      <c r="D77" s="56">
        <f t="shared" si="19"/>
        <v>0</v>
      </c>
      <c r="E77" s="52">
        <f t="shared" si="20"/>
        <v>0</v>
      </c>
      <c r="F77" s="52">
        <f t="shared" si="16"/>
        <v>0</v>
      </c>
      <c r="G77" s="80">
        <f t="shared" si="17"/>
        <v>0</v>
      </c>
      <c r="H77" s="80">
        <v>0</v>
      </c>
      <c r="I77" s="10" t="s">
        <v>60</v>
      </c>
      <c r="J77" s="10"/>
      <c r="K77" s="10"/>
      <c r="L77" s="81">
        <f>3*G77</f>
        <v>0</v>
      </c>
      <c r="M77" s="65">
        <f t="shared" si="18"/>
        <v>0</v>
      </c>
      <c r="N77" s="62">
        <v>0</v>
      </c>
    </row>
    <row r="78" spans="2:18" ht="15" hidden="1" x14ac:dyDescent="0.15">
      <c r="B78" s="79"/>
      <c r="C78" s="79">
        <v>0</v>
      </c>
      <c r="D78" s="56">
        <f t="shared" si="19"/>
        <v>0</v>
      </c>
      <c r="E78" s="52">
        <f t="shared" si="20"/>
        <v>0</v>
      </c>
      <c r="F78" s="52">
        <f t="shared" si="16"/>
        <v>0</v>
      </c>
      <c r="G78" s="80">
        <f t="shared" si="17"/>
        <v>0</v>
      </c>
      <c r="H78" s="80">
        <v>0</v>
      </c>
      <c r="I78" s="10" t="s">
        <v>61</v>
      </c>
      <c r="J78" s="10"/>
      <c r="K78" s="10"/>
      <c r="L78" s="81">
        <f>3*G78</f>
        <v>0</v>
      </c>
      <c r="M78" s="65">
        <f t="shared" si="18"/>
        <v>0</v>
      </c>
      <c r="N78" s="62">
        <v>0</v>
      </c>
    </row>
    <row r="79" spans="2:18" ht="15" hidden="1" x14ac:dyDescent="0.15">
      <c r="B79" s="79"/>
      <c r="C79" s="79">
        <v>0</v>
      </c>
      <c r="D79" s="56">
        <f t="shared" si="19"/>
        <v>0</v>
      </c>
      <c r="E79" s="52">
        <f t="shared" si="20"/>
        <v>0</v>
      </c>
      <c r="F79" s="52">
        <f t="shared" si="16"/>
        <v>0</v>
      </c>
      <c r="G79" s="80">
        <f t="shared" si="17"/>
        <v>0</v>
      </c>
      <c r="H79" s="80">
        <v>0</v>
      </c>
      <c r="I79" s="10" t="s">
        <v>62</v>
      </c>
      <c r="J79" s="10"/>
      <c r="K79" s="10"/>
      <c r="L79" s="81">
        <f>4*G79</f>
        <v>0</v>
      </c>
      <c r="M79" s="65">
        <f t="shared" si="18"/>
        <v>0</v>
      </c>
      <c r="N79" s="62">
        <v>0</v>
      </c>
    </row>
    <row r="80" spans="2:18" ht="15" hidden="1" x14ac:dyDescent="0.15">
      <c r="B80" s="79"/>
      <c r="C80" s="79">
        <v>0</v>
      </c>
      <c r="D80" s="56">
        <f t="shared" si="19"/>
        <v>0</v>
      </c>
      <c r="E80" s="52">
        <f t="shared" si="20"/>
        <v>0</v>
      </c>
      <c r="F80" s="52">
        <f t="shared" si="16"/>
        <v>0</v>
      </c>
      <c r="G80" s="80">
        <f t="shared" si="17"/>
        <v>0</v>
      </c>
      <c r="H80" s="80">
        <v>0</v>
      </c>
      <c r="I80" s="10" t="s">
        <v>63</v>
      </c>
      <c r="J80" s="10"/>
      <c r="K80" s="10"/>
      <c r="L80" s="81">
        <f>4*G80</f>
        <v>0</v>
      </c>
      <c r="M80" s="65">
        <f t="shared" si="18"/>
        <v>0</v>
      </c>
      <c r="N80" s="62">
        <v>0</v>
      </c>
    </row>
    <row r="81" spans="2:14" ht="14.25" hidden="1" x14ac:dyDescent="0.15">
      <c r="B81" s="59"/>
      <c r="C81" s="59"/>
      <c r="D81" s="67">
        <f>SUM(D68:D80)</f>
        <v>0</v>
      </c>
      <c r="E81" s="67">
        <f t="shared" ref="E81:H81" si="22">SUM(E68:E80)</f>
        <v>-966</v>
      </c>
      <c r="F81" s="67">
        <f t="shared" si="22"/>
        <v>3000</v>
      </c>
      <c r="G81" s="67">
        <f t="shared" si="22"/>
        <v>1500</v>
      </c>
      <c r="H81" s="67">
        <f t="shared" si="22"/>
        <v>115750</v>
      </c>
      <c r="I81" s="67"/>
      <c r="J81" s="67"/>
      <c r="K81" s="67"/>
      <c r="L81" s="67">
        <f>SUM(L68:L80)</f>
        <v>0</v>
      </c>
      <c r="M81" s="67">
        <f>SUM(M68:M70)</f>
        <v>4206</v>
      </c>
      <c r="N81" s="67">
        <f t="shared" ref="N81" si="23">SUM(N68:N80)</f>
        <v>138</v>
      </c>
    </row>
    <row r="82" spans="2:14" hidden="1" x14ac:dyDescent="0.15"/>
    <row r="83" spans="2:14" hidden="1" x14ac:dyDescent="0.15">
      <c r="C83" s="30">
        <f t="shared" ref="C83:C95" si="24">G68*H68</f>
        <v>78000</v>
      </c>
      <c r="D83" s="30" t="e">
        <f>#REF!*#REF!</f>
        <v>#REF!</v>
      </c>
      <c r="E83" s="30" t="e">
        <f>#REF!*#REF!</f>
        <v>#REF!</v>
      </c>
      <c r="G83" s="33">
        <v>1300</v>
      </c>
      <c r="H83" s="33">
        <f>G68+G71</f>
        <v>60</v>
      </c>
      <c r="I83" s="34">
        <f t="shared" ref="I83:I90" si="25">G83*H83</f>
        <v>78000</v>
      </c>
      <c r="L83" s="30" t="e">
        <f>#REF!+#REF!+L81</f>
        <v>#REF!</v>
      </c>
    </row>
    <row r="84" spans="2:14" hidden="1" x14ac:dyDescent="0.15">
      <c r="C84" s="30">
        <f t="shared" si="24"/>
        <v>1154400</v>
      </c>
      <c r="D84" s="30" t="e">
        <f>#REF!*#REF!</f>
        <v>#REF!</v>
      </c>
      <c r="E84" s="30" t="e">
        <f>#REF!*#REF!</f>
        <v>#REF!</v>
      </c>
      <c r="G84" s="33">
        <v>2600</v>
      </c>
      <c r="H84" s="33">
        <f>G69</f>
        <v>444</v>
      </c>
      <c r="I84" s="34">
        <f t="shared" si="25"/>
        <v>1154400</v>
      </c>
    </row>
    <row r="85" spans="2:14" hidden="1" x14ac:dyDescent="0.15">
      <c r="C85" s="30">
        <f t="shared" si="24"/>
        <v>1709400</v>
      </c>
      <c r="D85" s="30" t="e">
        <f>#REF!*#REF!</f>
        <v>#REF!</v>
      </c>
      <c r="E85" s="30" t="e">
        <f>#REF!*#REF!</f>
        <v>#REF!</v>
      </c>
      <c r="G85" s="33">
        <v>3700</v>
      </c>
      <c r="H85" s="33">
        <f>G70+G71</f>
        <v>462</v>
      </c>
      <c r="I85" s="34">
        <f t="shared" si="25"/>
        <v>1709400</v>
      </c>
    </row>
    <row r="86" spans="2:14" hidden="1" x14ac:dyDescent="0.15">
      <c r="C86" s="30">
        <f t="shared" si="24"/>
        <v>0</v>
      </c>
      <c r="D86" s="30" t="e">
        <f>#REF!*#REF!</f>
        <v>#REF!</v>
      </c>
      <c r="E86" s="30" t="e">
        <f>#REF!*#REF!</f>
        <v>#REF!</v>
      </c>
      <c r="G86" s="33">
        <v>4650</v>
      </c>
      <c r="H86" s="33">
        <v>0</v>
      </c>
      <c r="I86" s="34">
        <f t="shared" si="25"/>
        <v>0</v>
      </c>
    </row>
    <row r="87" spans="2:14" hidden="1" x14ac:dyDescent="0.15">
      <c r="C87" s="30">
        <f t="shared" si="24"/>
        <v>0</v>
      </c>
      <c r="D87" s="30" t="e">
        <f>#REF!*#REF!</f>
        <v>#REF!</v>
      </c>
      <c r="E87" s="30" t="e">
        <f>#REF!*#REF!</f>
        <v>#REF!</v>
      </c>
      <c r="G87" s="34">
        <v>2400</v>
      </c>
      <c r="H87" s="34">
        <f>G72</f>
        <v>0</v>
      </c>
      <c r="I87" s="34">
        <f t="shared" si="25"/>
        <v>0</v>
      </c>
    </row>
    <row r="88" spans="2:14" hidden="1" x14ac:dyDescent="0.15">
      <c r="C88" s="30">
        <f t="shared" si="24"/>
        <v>0</v>
      </c>
      <c r="D88" s="30" t="e">
        <f>#REF!*#REF!</f>
        <v>#REF!</v>
      </c>
      <c r="E88" s="30" t="e">
        <f>#REF!*#REF!</f>
        <v>#REF!</v>
      </c>
      <c r="G88" s="34">
        <v>2350</v>
      </c>
      <c r="H88" s="34">
        <f>G73</f>
        <v>0</v>
      </c>
      <c r="I88" s="34">
        <f t="shared" si="25"/>
        <v>0</v>
      </c>
    </row>
    <row r="89" spans="2:14" hidden="1" x14ac:dyDescent="0.15">
      <c r="C89" s="30">
        <f t="shared" si="24"/>
        <v>0</v>
      </c>
      <c r="D89" s="30" t="e">
        <f>#REF!*#REF!</f>
        <v>#REF!</v>
      </c>
      <c r="E89" s="30" t="e">
        <f>#REF!*#REF!</f>
        <v>#REF!</v>
      </c>
      <c r="G89" s="34">
        <v>4000</v>
      </c>
      <c r="H89" s="34">
        <f>G74</f>
        <v>0</v>
      </c>
      <c r="I89" s="34">
        <f t="shared" si="25"/>
        <v>0</v>
      </c>
      <c r="M89" s="35" t="s">
        <v>64</v>
      </c>
    </row>
    <row r="90" spans="2:14" ht="14.25" hidden="1" x14ac:dyDescent="0.15">
      <c r="C90" s="30">
        <f t="shared" si="24"/>
        <v>747600</v>
      </c>
      <c r="D90" s="30" t="e">
        <f>#REF!*#REF!</f>
        <v>#REF!</v>
      </c>
      <c r="E90" s="30" t="e">
        <f>#REF!*#REF!</f>
        <v>#REF!</v>
      </c>
      <c r="G90" s="34">
        <v>3900</v>
      </c>
      <c r="H90" s="34">
        <v>0</v>
      </c>
      <c r="I90" s="34">
        <f t="shared" si="25"/>
        <v>0</v>
      </c>
      <c r="L90" s="20">
        <f>C98</f>
        <v>3689400</v>
      </c>
      <c r="M90" s="35">
        <f>I92-L90</f>
        <v>-747600</v>
      </c>
    </row>
    <row r="91" spans="2:14" hidden="1" x14ac:dyDescent="0.15">
      <c r="C91" s="30">
        <f t="shared" si="24"/>
        <v>0</v>
      </c>
      <c r="D91" s="30" t="e">
        <f>#REF!*#REF!</f>
        <v>#REF!</v>
      </c>
      <c r="E91" s="30" t="e">
        <f>#REF!*#REF!</f>
        <v>#REF!</v>
      </c>
    </row>
    <row r="92" spans="2:14" ht="14.25" hidden="1" x14ac:dyDescent="0.15">
      <c r="C92" s="30">
        <f t="shared" si="24"/>
        <v>0</v>
      </c>
      <c r="D92" s="30"/>
      <c r="E92" s="30" t="e">
        <f>#REF!*#REF!</f>
        <v>#REF!</v>
      </c>
      <c r="I92" s="68">
        <f>SUM(I83:I90)</f>
        <v>2941800</v>
      </c>
      <c r="J92" s="69"/>
      <c r="K92" s="69"/>
    </row>
    <row r="93" spans="2:14" hidden="1" x14ac:dyDescent="0.15">
      <c r="C93" s="30">
        <f t="shared" si="24"/>
        <v>0</v>
      </c>
      <c r="D93" s="30" t="e">
        <f>SUM(D83:D92)</f>
        <v>#REF!</v>
      </c>
      <c r="E93" s="30" t="e">
        <f>SUM(E83:E92)</f>
        <v>#REF!</v>
      </c>
    </row>
    <row r="94" spans="2:14" hidden="1" x14ac:dyDescent="0.15">
      <c r="C94" s="30">
        <f t="shared" si="24"/>
        <v>0</v>
      </c>
      <c r="F94" s="30" t="e">
        <f>C98+D93+E93</f>
        <v>#REF!</v>
      </c>
    </row>
    <row r="95" spans="2:14" hidden="1" x14ac:dyDescent="0.15">
      <c r="C95" s="30">
        <f t="shared" si="24"/>
        <v>0</v>
      </c>
    </row>
    <row r="96" spans="2:14" hidden="1" x14ac:dyDescent="0.15">
      <c r="C96" s="30"/>
    </row>
    <row r="97" spans="3:5" hidden="1" x14ac:dyDescent="0.15">
      <c r="C97" s="30"/>
    </row>
    <row r="98" spans="3:5" hidden="1" x14ac:dyDescent="0.15">
      <c r="C98" s="30">
        <f>SUM(C83:C96)</f>
        <v>3689400</v>
      </c>
    </row>
    <row r="99" spans="3:5" x14ac:dyDescent="0.15">
      <c r="E99" s="60"/>
    </row>
  </sheetData>
  <mergeCells count="20">
    <mergeCell ref="D50:G50"/>
    <mergeCell ref="H50:N50"/>
    <mergeCell ref="B42:N43"/>
    <mergeCell ref="B44:N44"/>
    <mergeCell ref="B45:N45"/>
    <mergeCell ref="B46:N46"/>
    <mergeCell ref="B47:N47"/>
    <mergeCell ref="A48:A49"/>
    <mergeCell ref="B48:B49"/>
    <mergeCell ref="C48:C49"/>
    <mergeCell ref="D48:G49"/>
    <mergeCell ref="H48:N49"/>
    <mergeCell ref="A1:N1"/>
    <mergeCell ref="A2:N2"/>
    <mergeCell ref="A3:F3"/>
    <mergeCell ref="G3:N3"/>
    <mergeCell ref="O6:O13"/>
    <mergeCell ref="C10:D10"/>
    <mergeCell ref="C11:D11"/>
    <mergeCell ref="C12:D12"/>
  </mergeCells>
  <phoneticPr fontId="22" type="noConversion"/>
  <printOptions horizontalCentered="1" verticalCentered="1"/>
  <pageMargins left="0" right="0" top="0" bottom="0" header="0" footer="0"/>
  <pageSetup paperSize="9" scale="5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2"/>
  <sheetViews>
    <sheetView zoomScaleNormal="100" zoomScaleSheetLayoutView="100" workbookViewId="0">
      <selection activeCell="B17" sqref="B17:N17"/>
    </sheetView>
  </sheetViews>
  <sheetFormatPr defaultColWidth="9" defaultRowHeight="13.5" x14ac:dyDescent="0.15"/>
  <cols>
    <col min="1" max="1" width="10.25" style="31" customWidth="1"/>
    <col min="2" max="2" width="38.25" style="32" bestFit="1" customWidth="1"/>
    <col min="3" max="3" width="14.75" style="33" customWidth="1"/>
    <col min="4" max="4" width="19.5" style="33" bestFit="1" customWidth="1"/>
    <col min="5" max="5" width="14.125" style="30" customWidth="1"/>
    <col min="6" max="6" width="8.75" style="30" customWidth="1"/>
    <col min="7" max="8" width="8.625" style="34" customWidth="1"/>
    <col min="9" max="9" width="13.5" style="34" customWidth="1"/>
    <col min="10" max="11" width="8.625" style="34" customWidth="1"/>
    <col min="12" max="12" width="15.375" style="30" customWidth="1"/>
    <col min="13" max="13" width="12.75" style="35" customWidth="1"/>
    <col min="14" max="14" width="15.375" style="31" customWidth="1"/>
    <col min="15" max="15" width="13.875" style="31" customWidth="1"/>
    <col min="16" max="16" width="12.625" style="31" customWidth="1"/>
    <col min="17" max="17" width="13.125" style="31" customWidth="1"/>
    <col min="18" max="18" width="16.875" style="31" customWidth="1"/>
    <col min="19" max="19" width="25.375" style="31" customWidth="1"/>
    <col min="20" max="20" width="12.5" style="31" customWidth="1"/>
    <col min="21" max="21" width="10.5" style="31" customWidth="1"/>
    <col min="22" max="22" width="9" style="31"/>
    <col min="23" max="23" width="16.375" style="31" customWidth="1"/>
    <col min="24" max="24" width="16.75" style="31" customWidth="1"/>
    <col min="25" max="25" width="9" style="31"/>
    <col min="26" max="26" width="18.625" style="31" customWidth="1"/>
    <col min="27" max="16384" width="9" style="31"/>
  </cols>
  <sheetData>
    <row r="1" spans="1:31" ht="18.75" x14ac:dyDescent="0.15">
      <c r="A1" s="192" t="s">
        <v>0</v>
      </c>
      <c r="B1" s="192"/>
      <c r="C1" s="192"/>
      <c r="D1" s="192"/>
      <c r="E1" s="192"/>
      <c r="F1" s="192"/>
      <c r="G1" s="193"/>
      <c r="H1" s="193"/>
      <c r="I1" s="193"/>
      <c r="J1" s="193"/>
      <c r="K1" s="193"/>
      <c r="L1" s="192"/>
      <c r="M1" s="194"/>
      <c r="N1" s="192"/>
      <c r="O1" s="42"/>
    </row>
    <row r="2" spans="1:31" x14ac:dyDescent="0.15">
      <c r="A2" s="195" t="s">
        <v>354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5"/>
      <c r="M2" s="197"/>
      <c r="N2" s="195"/>
      <c r="O2" s="11"/>
    </row>
    <row r="3" spans="1:31" x14ac:dyDescent="0.15">
      <c r="A3" s="198" t="s">
        <v>360</v>
      </c>
      <c r="B3" s="199"/>
      <c r="C3" s="199"/>
      <c r="D3" s="199"/>
      <c r="E3" s="199"/>
      <c r="F3" s="199"/>
      <c r="G3" s="198"/>
      <c r="H3" s="199"/>
      <c r="I3" s="199"/>
      <c r="J3" s="199"/>
      <c r="K3" s="199"/>
      <c r="L3" s="199"/>
      <c r="M3" s="199"/>
      <c r="N3" s="200"/>
      <c r="O3" s="12"/>
    </row>
    <row r="4" spans="1:31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3"/>
      <c r="P4" s="43"/>
    </row>
    <row r="5" spans="1:31" s="28" customFormat="1" ht="15" x14ac:dyDescent="0.15">
      <c r="A5" s="3" t="s">
        <v>352</v>
      </c>
      <c r="B5" s="36" t="s">
        <v>25</v>
      </c>
      <c r="C5" s="41"/>
      <c r="D5" s="41"/>
      <c r="E5" s="3"/>
      <c r="F5" s="4"/>
      <c r="G5" s="5"/>
      <c r="H5" s="5"/>
      <c r="I5" s="5"/>
      <c r="J5" s="5"/>
      <c r="K5" s="5"/>
      <c r="L5" s="47"/>
      <c r="M5" s="15"/>
      <c r="N5" s="16"/>
      <c r="O5" s="49"/>
      <c r="P5" s="167" t="s">
        <v>320</v>
      </c>
      <c r="Q5" s="18"/>
      <c r="R5" s="18"/>
      <c r="S5" s="18"/>
      <c r="T5" s="31">
        <v>71019</v>
      </c>
      <c r="U5" s="24"/>
      <c r="V5" s="18"/>
      <c r="W5" s="18"/>
      <c r="X5" s="23"/>
      <c r="Y5" s="24"/>
      <c r="Z5" s="23"/>
      <c r="AA5" s="18"/>
      <c r="AB5"/>
      <c r="AC5"/>
      <c r="AD5"/>
      <c r="AE5"/>
    </row>
    <row r="6" spans="1:31" s="28" customFormat="1" ht="15" x14ac:dyDescent="0.15">
      <c r="A6" s="73">
        <v>1</v>
      </c>
      <c r="B6" s="73" t="s">
        <v>313</v>
      </c>
      <c r="C6" s="77">
        <v>1100</v>
      </c>
      <c r="D6" s="74" t="s">
        <v>317</v>
      </c>
      <c r="E6" s="38" t="s">
        <v>14</v>
      </c>
      <c r="F6" s="73" t="s">
        <v>18</v>
      </c>
      <c r="G6" s="185">
        <f>(P6/1.94)</f>
        <v>435.56701030927837</v>
      </c>
      <c r="H6" s="75">
        <v>0</v>
      </c>
      <c r="I6" s="75">
        <f>G6+H6</f>
        <v>435.56701030927837</v>
      </c>
      <c r="J6" s="75"/>
      <c r="K6" s="75"/>
      <c r="L6" s="182">
        <v>1.385</v>
      </c>
      <c r="M6" s="15">
        <f t="shared" ref="M6:M8" si="0">C6*G6*L6/1000</f>
        <v>663.58634020618558</v>
      </c>
      <c r="N6" s="180"/>
      <c r="O6" s="205"/>
      <c r="P6" s="167">
        <v>845</v>
      </c>
      <c r="Q6" s="18"/>
      <c r="R6" s="18"/>
      <c r="S6" s="18"/>
      <c r="T6" s="31">
        <v>71019</v>
      </c>
      <c r="U6" s="24"/>
      <c r="V6" s="18"/>
      <c r="W6" s="18"/>
      <c r="X6" s="23"/>
      <c r="Y6" s="24"/>
      <c r="Z6" s="23"/>
      <c r="AA6" s="18"/>
      <c r="AB6"/>
      <c r="AC6"/>
      <c r="AD6"/>
      <c r="AE6"/>
    </row>
    <row r="7" spans="1:31" s="28" customFormat="1" ht="15" x14ac:dyDescent="0.15">
      <c r="A7" s="73">
        <v>2</v>
      </c>
      <c r="B7" s="73" t="s">
        <v>314</v>
      </c>
      <c r="C7" s="77">
        <v>950</v>
      </c>
      <c r="D7" s="74" t="s">
        <v>317</v>
      </c>
      <c r="E7" s="38" t="s">
        <v>14</v>
      </c>
      <c r="F7" s="73" t="s">
        <v>18</v>
      </c>
      <c r="G7" s="185">
        <f>G6</f>
        <v>435.56701030927837</v>
      </c>
      <c r="H7" s="75">
        <v>0</v>
      </c>
      <c r="I7" s="75">
        <f t="shared" ref="I7:I13" si="1">G7+H7</f>
        <v>435.56701030927837</v>
      </c>
      <c r="J7" s="75"/>
      <c r="K7" s="75"/>
      <c r="L7" s="182">
        <v>1.385</v>
      </c>
      <c r="M7" s="15">
        <f t="shared" si="0"/>
        <v>573.09729381443299</v>
      </c>
      <c r="N7" s="180"/>
      <c r="O7" s="205"/>
      <c r="Q7" s="18"/>
      <c r="R7" s="18"/>
      <c r="S7" s="18"/>
      <c r="T7" s="31">
        <v>71019</v>
      </c>
      <c r="U7" s="24"/>
      <c r="V7" s="18"/>
      <c r="W7" s="18"/>
      <c r="X7" s="23"/>
      <c r="Y7" s="24"/>
      <c r="Z7" s="23"/>
      <c r="AA7" s="18"/>
      <c r="AB7"/>
      <c r="AC7"/>
      <c r="AD7"/>
      <c r="AE7"/>
    </row>
    <row r="8" spans="1:31" s="28" customFormat="1" ht="15" x14ac:dyDescent="0.15">
      <c r="A8" s="73">
        <v>3</v>
      </c>
      <c r="B8" s="73" t="s">
        <v>316</v>
      </c>
      <c r="C8" s="77">
        <v>60</v>
      </c>
      <c r="D8" s="74" t="s">
        <v>317</v>
      </c>
      <c r="E8" s="38" t="s">
        <v>14</v>
      </c>
      <c r="F8" s="73" t="s">
        <v>18</v>
      </c>
      <c r="G8" s="185">
        <f>G6*2</f>
        <v>871.13402061855675</v>
      </c>
      <c r="H8" s="75">
        <v>0</v>
      </c>
      <c r="I8" s="75">
        <f t="shared" si="1"/>
        <v>871.13402061855675</v>
      </c>
      <c r="J8" s="75"/>
      <c r="K8" s="75"/>
      <c r="L8" s="182">
        <v>1.385</v>
      </c>
      <c r="M8" s="15">
        <f t="shared" si="0"/>
        <v>72.39123711340207</v>
      </c>
      <c r="N8" s="180"/>
      <c r="O8" s="205"/>
      <c r="Q8" s="18"/>
      <c r="R8" s="18"/>
      <c r="S8" s="18"/>
      <c r="T8" s="31">
        <v>71019</v>
      </c>
      <c r="U8" s="24"/>
      <c r="V8" s="18"/>
      <c r="W8" s="18"/>
      <c r="X8" s="23"/>
      <c r="Y8" s="24"/>
      <c r="Z8" s="23"/>
      <c r="AA8" s="18"/>
      <c r="AB8"/>
      <c r="AC8"/>
      <c r="AD8"/>
      <c r="AE8"/>
    </row>
    <row r="9" spans="1:31" s="28" customFormat="1" ht="15" x14ac:dyDescent="0.15">
      <c r="A9" s="3">
        <v>4</v>
      </c>
      <c r="B9" s="4" t="s">
        <v>312</v>
      </c>
      <c r="C9" s="3">
        <v>50</v>
      </c>
      <c r="D9" s="74" t="s">
        <v>317</v>
      </c>
      <c r="E9" s="38" t="s">
        <v>14</v>
      </c>
      <c r="F9" s="3" t="s">
        <v>17</v>
      </c>
      <c r="G9" s="185">
        <f>G6*2</f>
        <v>871.13402061855675</v>
      </c>
      <c r="H9" s="39">
        <f>G9*0.003</f>
        <v>2.6134020618556701</v>
      </c>
      <c r="I9" s="5">
        <f t="shared" si="1"/>
        <v>873.74742268041246</v>
      </c>
      <c r="J9" s="5"/>
      <c r="K9" s="5"/>
      <c r="L9" s="44">
        <f>2.31*0.05</f>
        <v>0.11550000000000001</v>
      </c>
      <c r="M9" s="15">
        <f>G9*L9</f>
        <v>100.61597938144331</v>
      </c>
      <c r="N9" s="46"/>
      <c r="O9" s="205"/>
      <c r="Q9" s="18"/>
      <c r="R9" s="18"/>
      <c r="S9" s="18"/>
      <c r="T9" s="31"/>
      <c r="U9" s="24"/>
      <c r="V9" s="18"/>
      <c r="W9" s="18"/>
      <c r="X9" s="23"/>
      <c r="Y9" s="24"/>
      <c r="Z9" s="23"/>
      <c r="AA9" s="18"/>
      <c r="AB9"/>
      <c r="AC9"/>
      <c r="AD9"/>
      <c r="AE9"/>
    </row>
    <row r="10" spans="1:31" s="28" customFormat="1" ht="15" x14ac:dyDescent="0.15">
      <c r="A10" s="3">
        <v>5</v>
      </c>
      <c r="B10" s="40" t="s">
        <v>364</v>
      </c>
      <c r="C10" s="190" t="s">
        <v>66</v>
      </c>
      <c r="D10" s="191"/>
      <c r="E10" s="3" t="s">
        <v>20</v>
      </c>
      <c r="F10" s="3" t="s">
        <v>17</v>
      </c>
      <c r="G10" s="185">
        <f>G9*2</f>
        <v>1742.2680412371135</v>
      </c>
      <c r="H10" s="39">
        <f t="shared" ref="H10:H12" si="2">G10*0.003</f>
        <v>5.2268041237113403</v>
      </c>
      <c r="I10" s="5">
        <f t="shared" si="1"/>
        <v>1747.4948453608249</v>
      </c>
      <c r="J10" s="5"/>
      <c r="K10" s="5"/>
      <c r="L10" s="22">
        <f>0.016+0.004+0.002+0.0004</f>
        <v>2.24E-2</v>
      </c>
      <c r="M10" s="15">
        <f>G10*L10</f>
        <v>39.026804123711344</v>
      </c>
      <c r="N10" s="37" t="s">
        <v>321</v>
      </c>
      <c r="O10" s="205"/>
      <c r="Q10" s="18"/>
      <c r="R10" s="18"/>
      <c r="S10" s="18"/>
      <c r="T10" s="31"/>
      <c r="U10" s="24"/>
      <c r="V10" s="18"/>
      <c r="W10" s="18"/>
      <c r="X10" s="23"/>
      <c r="Y10" s="24"/>
      <c r="Z10" s="23"/>
      <c r="AA10" s="18"/>
      <c r="AB10"/>
      <c r="AC10"/>
      <c r="AD10"/>
      <c r="AE10"/>
    </row>
    <row r="11" spans="1:31" s="28" customFormat="1" ht="24" x14ac:dyDescent="0.15">
      <c r="A11" s="3">
        <v>5</v>
      </c>
      <c r="B11" s="40" t="s">
        <v>363</v>
      </c>
      <c r="C11" s="190" t="s">
        <v>66</v>
      </c>
      <c r="D11" s="191"/>
      <c r="E11" s="3" t="s">
        <v>20</v>
      </c>
      <c r="F11" s="3" t="s">
        <v>17</v>
      </c>
      <c r="G11" s="185">
        <f>G9</f>
        <v>871.13402061855675</v>
      </c>
      <c r="H11" s="39">
        <f t="shared" si="2"/>
        <v>2.6134020618556701</v>
      </c>
      <c r="I11" s="5">
        <f t="shared" si="1"/>
        <v>873.74742268041246</v>
      </c>
      <c r="J11" s="5"/>
      <c r="K11" s="5"/>
      <c r="L11" s="22">
        <f t="shared" ref="L11:L12" si="3">0.016+0.004+0.002+0.0004</f>
        <v>2.24E-2</v>
      </c>
      <c r="M11" s="15">
        <f>G11*L11</f>
        <v>19.513402061855672</v>
      </c>
      <c r="N11" s="37" t="s">
        <v>315</v>
      </c>
      <c r="O11" s="205"/>
      <c r="Q11" s="18"/>
      <c r="R11" s="18"/>
      <c r="S11" s="18"/>
      <c r="T11" s="31"/>
      <c r="U11" s="24"/>
      <c r="V11" s="18"/>
      <c r="W11" s="18"/>
      <c r="X11" s="23"/>
      <c r="Y11" s="24"/>
      <c r="Z11" s="23"/>
      <c r="AA11" s="18"/>
      <c r="AB11"/>
      <c r="AC11"/>
      <c r="AD11"/>
      <c r="AE11"/>
    </row>
    <row r="12" spans="1:31" s="28" customFormat="1" ht="24" x14ac:dyDescent="0.15">
      <c r="A12" s="3">
        <v>6</v>
      </c>
      <c r="B12" s="40" t="s">
        <v>363</v>
      </c>
      <c r="C12" s="225" t="s">
        <v>22</v>
      </c>
      <c r="D12" s="226"/>
      <c r="E12" s="3" t="s">
        <v>20</v>
      </c>
      <c r="F12" s="3" t="s">
        <v>17</v>
      </c>
      <c r="G12" s="185">
        <f>G6*4</f>
        <v>1742.2680412371135</v>
      </c>
      <c r="H12" s="39">
        <f t="shared" si="2"/>
        <v>5.2268041237113403</v>
      </c>
      <c r="I12" s="5">
        <f t="shared" si="1"/>
        <v>1747.4948453608249</v>
      </c>
      <c r="J12" s="5"/>
      <c r="K12" s="5"/>
      <c r="L12" s="22">
        <f t="shared" si="3"/>
        <v>2.24E-2</v>
      </c>
      <c r="M12" s="15">
        <f>G12*L12</f>
        <v>39.026804123711344</v>
      </c>
      <c r="N12" s="37" t="s">
        <v>319</v>
      </c>
      <c r="O12" s="205"/>
      <c r="Q12" s="18"/>
      <c r="R12" s="18"/>
      <c r="S12" s="18"/>
      <c r="T12" s="31"/>
      <c r="U12" s="24"/>
      <c r="V12" s="18"/>
      <c r="W12" s="18"/>
      <c r="X12" s="23"/>
      <c r="Y12" s="24"/>
      <c r="Z12" s="23"/>
      <c r="AA12" s="18"/>
      <c r="AB12"/>
      <c r="AC12"/>
      <c r="AD12"/>
      <c r="AE12"/>
    </row>
    <row r="13" spans="1:31" s="28" customFormat="1" ht="15" x14ac:dyDescent="0.15">
      <c r="A13" s="73">
        <v>7</v>
      </c>
      <c r="B13" s="76" t="s">
        <v>318</v>
      </c>
      <c r="C13" s="77">
        <v>6000</v>
      </c>
      <c r="D13" s="74" t="s">
        <v>317</v>
      </c>
      <c r="E13" s="38" t="s">
        <v>14</v>
      </c>
      <c r="F13" s="73" t="s">
        <v>18</v>
      </c>
      <c r="G13" s="185">
        <f>P6/6*3</f>
        <v>422.5</v>
      </c>
      <c r="H13" s="75">
        <v>1</v>
      </c>
      <c r="I13" s="75">
        <f t="shared" si="1"/>
        <v>423.5</v>
      </c>
      <c r="J13" s="75"/>
      <c r="K13" s="75"/>
      <c r="L13" s="182">
        <v>1.385</v>
      </c>
      <c r="M13" s="78">
        <f>G13*L13</f>
        <v>585.16250000000002</v>
      </c>
      <c r="N13" s="175"/>
      <c r="O13" s="205"/>
      <c r="Q13" s="18"/>
      <c r="R13" s="18"/>
      <c r="S13" s="18"/>
      <c r="T13" s="31"/>
      <c r="U13" s="24"/>
      <c r="V13" s="18"/>
      <c r="W13" s="18"/>
      <c r="X13" s="23"/>
      <c r="Y13" s="24"/>
      <c r="Z13" s="23"/>
      <c r="AA13" s="18"/>
      <c r="AB13"/>
      <c r="AC13"/>
      <c r="AD13"/>
      <c r="AE13"/>
    </row>
    <row r="14" spans="1:31" s="28" customFormat="1" ht="15" x14ac:dyDescent="0.15">
      <c r="A14" s="3"/>
      <c r="B14" s="4" t="s">
        <v>23</v>
      </c>
      <c r="C14" s="41"/>
      <c r="D14" s="41"/>
      <c r="E14" s="3"/>
      <c r="F14" s="4"/>
      <c r="G14" s="5"/>
      <c r="H14" s="5"/>
      <c r="I14" s="5"/>
      <c r="J14" s="5"/>
      <c r="K14" s="5"/>
      <c r="L14" s="47"/>
      <c r="M14" s="48">
        <f>SUM(M6:M13)</f>
        <v>2092.4203608247426</v>
      </c>
      <c r="N14" s="16"/>
      <c r="O14" s="49"/>
      <c r="Q14" s="18"/>
      <c r="R14" s="18"/>
      <c r="S14" s="18">
        <v>57452</v>
      </c>
      <c r="T14" s="31">
        <v>76794</v>
      </c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31" x14ac:dyDescent="0.15">
      <c r="A15" s="8" t="s">
        <v>27</v>
      </c>
      <c r="B15" s="210" t="s">
        <v>28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2"/>
    </row>
    <row r="16" spans="1:31" x14ac:dyDescent="0.15">
      <c r="A16" s="8"/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5"/>
    </row>
    <row r="17" spans="1:20" ht="31.5" customHeight="1" x14ac:dyDescent="0.15">
      <c r="A17" s="53"/>
      <c r="B17" s="216" t="s">
        <v>365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7"/>
      <c r="N17" s="216"/>
    </row>
    <row r="18" spans="1:20" x14ac:dyDescent="0.15">
      <c r="A18" s="9"/>
      <c r="B18" s="218" t="s">
        <v>29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20"/>
    </row>
    <row r="19" spans="1:20" x14ac:dyDescent="0.15">
      <c r="A19" s="9"/>
      <c r="B19" s="218" t="s">
        <v>68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20"/>
    </row>
    <row r="20" spans="1:20" x14ac:dyDescent="0.15">
      <c r="A20" s="9"/>
      <c r="B20" s="221" t="s">
        <v>350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3"/>
      <c r="N20" s="224"/>
    </row>
    <row r="21" spans="1:20" x14ac:dyDescent="0.15">
      <c r="A21" s="206" t="s">
        <v>30</v>
      </c>
      <c r="B21" s="201"/>
      <c r="C21" s="203" t="s">
        <v>31</v>
      </c>
      <c r="D21" s="208"/>
      <c r="E21" s="208"/>
      <c r="F21" s="208"/>
      <c r="G21" s="201"/>
      <c r="H21" s="210" t="s">
        <v>32</v>
      </c>
      <c r="I21" s="211"/>
      <c r="J21" s="211"/>
      <c r="K21" s="211"/>
      <c r="L21" s="211"/>
      <c r="M21" s="211"/>
      <c r="N21" s="212"/>
    </row>
    <row r="22" spans="1:20" x14ac:dyDescent="0.15">
      <c r="A22" s="207"/>
      <c r="B22" s="202"/>
      <c r="C22" s="204"/>
      <c r="D22" s="209"/>
      <c r="E22" s="209"/>
      <c r="F22" s="209"/>
      <c r="G22" s="202"/>
      <c r="H22" s="213"/>
      <c r="I22" s="214"/>
      <c r="J22" s="214"/>
      <c r="K22" s="214"/>
      <c r="L22" s="214"/>
      <c r="M22" s="214"/>
      <c r="N22" s="215"/>
    </row>
    <row r="23" spans="1:20" x14ac:dyDescent="0.15">
      <c r="A23" s="183" t="s">
        <v>33</v>
      </c>
      <c r="B23" s="54"/>
      <c r="C23" s="10" t="s">
        <v>34</v>
      </c>
      <c r="D23" s="187"/>
      <c r="E23" s="187"/>
      <c r="F23" s="187"/>
      <c r="G23" s="188"/>
      <c r="H23" s="189"/>
      <c r="I23" s="187"/>
      <c r="J23" s="187"/>
      <c r="K23" s="187"/>
      <c r="L23" s="187"/>
      <c r="M23" s="187"/>
      <c r="N23" s="188"/>
      <c r="T23" s="31" t="e">
        <f>#REF!+#REF!</f>
        <v>#REF!</v>
      </c>
    </row>
    <row r="24" spans="1:20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x14ac:dyDescent="0.15">
      <c r="A25" s="23"/>
      <c r="B25" s="55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31" spans="1:20" ht="14.25" x14ac:dyDescent="0.15">
      <c r="S31" s="67"/>
      <c r="T31" s="67"/>
    </row>
    <row r="34" spans="2:18" hidden="1" x14ac:dyDescent="0.15">
      <c r="O34" s="62" t="s">
        <v>35</v>
      </c>
      <c r="P34" s="62" t="s">
        <v>36</v>
      </c>
      <c r="Q34" s="27"/>
      <c r="R34" s="70" t="s">
        <v>37</v>
      </c>
    </row>
    <row r="35" spans="2:18" ht="40.5" hidden="1" x14ac:dyDescent="0.15">
      <c r="O35" s="6" t="s">
        <v>38</v>
      </c>
      <c r="P35" s="6" t="s">
        <v>39</v>
      </c>
      <c r="Q35" s="26" t="s">
        <v>40</v>
      </c>
      <c r="R35" s="7" t="s">
        <v>41</v>
      </c>
    </row>
    <row r="36" spans="2:18" hidden="1" x14ac:dyDescent="0.15">
      <c r="O36" s="22">
        <f t="shared" ref="O36:O48" si="4">E41+F41</f>
        <v>60</v>
      </c>
      <c r="P36" s="22">
        <f t="shared" ref="P36:P42" si="5">M41*2</f>
        <v>240</v>
      </c>
      <c r="Q36" s="22">
        <f t="shared" ref="Q36:Q48" si="6">M41</f>
        <v>120</v>
      </c>
      <c r="R36" s="71">
        <f t="shared" ref="R36:R48" si="7">L41*2</f>
        <v>0</v>
      </c>
    </row>
    <row r="37" spans="2:18" hidden="1" x14ac:dyDescent="0.15">
      <c r="B37" s="55" t="s">
        <v>42</v>
      </c>
      <c r="O37" s="22">
        <f t="shared" si="4"/>
        <v>444</v>
      </c>
      <c r="P37" s="22">
        <f t="shared" si="5"/>
        <v>3552</v>
      </c>
      <c r="Q37" s="22">
        <f t="shared" si="6"/>
        <v>1776</v>
      </c>
      <c r="R37" s="71">
        <f t="shared" si="7"/>
        <v>0</v>
      </c>
    </row>
    <row r="38" spans="2:18" hidden="1" x14ac:dyDescent="0.15">
      <c r="O38" s="22">
        <f t="shared" si="4"/>
        <v>462</v>
      </c>
      <c r="P38" s="22">
        <f t="shared" si="5"/>
        <v>4620</v>
      </c>
      <c r="Q38" s="22">
        <f t="shared" si="6"/>
        <v>2310</v>
      </c>
      <c r="R38" s="71">
        <f t="shared" si="7"/>
        <v>0</v>
      </c>
    </row>
    <row r="39" spans="2:18" ht="27" hidden="1" x14ac:dyDescent="0.15">
      <c r="B39" s="27"/>
      <c r="C39" s="72" t="s">
        <v>43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3" t="s">
        <v>44</v>
      </c>
      <c r="O39" s="22">
        <f t="shared" si="4"/>
        <v>0</v>
      </c>
      <c r="P39" s="22">
        <f t="shared" si="5"/>
        <v>0</v>
      </c>
      <c r="Q39" s="22">
        <f t="shared" si="6"/>
        <v>0</v>
      </c>
      <c r="R39" s="71">
        <f t="shared" si="7"/>
        <v>0</v>
      </c>
    </row>
    <row r="40" spans="2:18" ht="15" hidden="1" x14ac:dyDescent="0.15">
      <c r="B40" s="9" t="s">
        <v>45</v>
      </c>
      <c r="C40" s="56" t="s">
        <v>46</v>
      </c>
      <c r="D40" s="56" t="s">
        <v>47</v>
      </c>
      <c r="E40" s="52" t="s">
        <v>48</v>
      </c>
      <c r="F40" s="52" t="s">
        <v>49</v>
      </c>
      <c r="G40" s="56" t="s">
        <v>50</v>
      </c>
      <c r="H40" s="56" t="s">
        <v>51</v>
      </c>
      <c r="I40" s="10" t="s">
        <v>52</v>
      </c>
      <c r="J40" s="10"/>
      <c r="K40" s="10"/>
      <c r="L40" s="9" t="s">
        <v>19</v>
      </c>
      <c r="M40" s="10" t="s">
        <v>53</v>
      </c>
      <c r="N40" s="64" t="s">
        <v>54</v>
      </c>
      <c r="O40" s="22">
        <f t="shared" si="4"/>
        <v>0</v>
      </c>
      <c r="P40" s="22">
        <f t="shared" si="5"/>
        <v>0</v>
      </c>
      <c r="Q40" s="22">
        <f t="shared" si="6"/>
        <v>0</v>
      </c>
      <c r="R40" s="71">
        <f t="shared" si="7"/>
        <v>0</v>
      </c>
    </row>
    <row r="41" spans="2:18" ht="15" hidden="1" x14ac:dyDescent="0.15">
      <c r="B41" s="56"/>
      <c r="C41" s="56">
        <v>30</v>
      </c>
      <c r="D41" s="56">
        <f>B41*C41</f>
        <v>0</v>
      </c>
      <c r="E41" s="52">
        <f>(B41-1)*2*C41</f>
        <v>-60</v>
      </c>
      <c r="F41" s="52">
        <f t="shared" ref="F41:F53" si="8">4*C41</f>
        <v>120</v>
      </c>
      <c r="G41" s="56">
        <f t="shared" ref="G41:G53" si="9">C41*2</f>
        <v>60</v>
      </c>
      <c r="H41" s="56">
        <v>1300</v>
      </c>
      <c r="I41" s="10">
        <v>1300</v>
      </c>
      <c r="J41" s="10"/>
      <c r="K41" s="10"/>
      <c r="L41" s="52">
        <f>G41*0</f>
        <v>0</v>
      </c>
      <c r="M41" s="10">
        <f>N41*G41</f>
        <v>120</v>
      </c>
      <c r="N41" s="22">
        <v>2</v>
      </c>
      <c r="O41" s="22">
        <f t="shared" si="4"/>
        <v>0</v>
      </c>
      <c r="P41" s="22">
        <f t="shared" si="5"/>
        <v>0</v>
      </c>
      <c r="Q41" s="22">
        <f t="shared" si="6"/>
        <v>0</v>
      </c>
      <c r="R41" s="71">
        <f t="shared" si="7"/>
        <v>0</v>
      </c>
    </row>
    <row r="42" spans="2:18" ht="15" hidden="1" x14ac:dyDescent="0.15">
      <c r="B42" s="56"/>
      <c r="C42" s="56">
        <v>222</v>
      </c>
      <c r="D42" s="56">
        <f>B42*C42</f>
        <v>0</v>
      </c>
      <c r="E42" s="52">
        <f>(B42-1)*2*C42</f>
        <v>-444</v>
      </c>
      <c r="F42" s="52">
        <f t="shared" si="8"/>
        <v>888</v>
      </c>
      <c r="G42" s="56">
        <f t="shared" si="9"/>
        <v>444</v>
      </c>
      <c r="H42" s="56">
        <v>2600</v>
      </c>
      <c r="I42" s="10">
        <v>2600</v>
      </c>
      <c r="J42" s="10"/>
      <c r="K42" s="10"/>
      <c r="L42" s="52">
        <f>G42*0</f>
        <v>0</v>
      </c>
      <c r="M42" s="10">
        <f t="shared" ref="M42:M53" si="10">N42*G42</f>
        <v>1776</v>
      </c>
      <c r="N42" s="22">
        <v>4</v>
      </c>
      <c r="O42" s="22">
        <f t="shared" si="4"/>
        <v>0</v>
      </c>
      <c r="P42" s="22">
        <f t="shared" si="5"/>
        <v>0</v>
      </c>
      <c r="Q42" s="22">
        <f t="shared" si="6"/>
        <v>0</v>
      </c>
      <c r="R42" s="71">
        <f t="shared" si="7"/>
        <v>0</v>
      </c>
    </row>
    <row r="43" spans="2:18" ht="15" hidden="1" x14ac:dyDescent="0.15">
      <c r="B43" s="56"/>
      <c r="C43" s="56">
        <v>231</v>
      </c>
      <c r="D43" s="56">
        <f t="shared" ref="D43:D53" si="11">B43*C43</f>
        <v>0</v>
      </c>
      <c r="E43" s="52">
        <f>(B43-1)*2*C43</f>
        <v>-462</v>
      </c>
      <c r="F43" s="52">
        <f t="shared" si="8"/>
        <v>924</v>
      </c>
      <c r="G43" s="56">
        <f t="shared" si="9"/>
        <v>462</v>
      </c>
      <c r="H43" s="56">
        <v>3700</v>
      </c>
      <c r="I43" s="10">
        <v>3700</v>
      </c>
      <c r="J43" s="10"/>
      <c r="K43" s="10"/>
      <c r="L43" s="52">
        <f>G43*0</f>
        <v>0</v>
      </c>
      <c r="M43" s="10">
        <f t="shared" si="10"/>
        <v>2310</v>
      </c>
      <c r="N43" s="22">
        <v>5</v>
      </c>
      <c r="O43" s="22">
        <f t="shared" si="4"/>
        <v>1068</v>
      </c>
      <c r="P43" s="22">
        <f>M48*0</f>
        <v>0</v>
      </c>
      <c r="Q43" s="22">
        <f t="shared" si="6"/>
        <v>1068</v>
      </c>
      <c r="R43" s="71">
        <f t="shared" si="7"/>
        <v>0</v>
      </c>
    </row>
    <row r="44" spans="2:18" ht="15" hidden="1" x14ac:dyDescent="0.15">
      <c r="B44" s="56"/>
      <c r="C44" s="56">
        <v>0</v>
      </c>
      <c r="D44" s="56">
        <f t="shared" si="11"/>
        <v>0</v>
      </c>
      <c r="E44" s="52">
        <f t="shared" ref="E44:E53" si="12">(B44-1)*2*C44</f>
        <v>0</v>
      </c>
      <c r="F44" s="52">
        <f t="shared" si="8"/>
        <v>0</v>
      </c>
      <c r="G44" s="56">
        <f t="shared" si="9"/>
        <v>0</v>
      </c>
      <c r="H44" s="56">
        <v>5000</v>
      </c>
      <c r="I44" s="10" t="s">
        <v>55</v>
      </c>
      <c r="J44" s="10"/>
      <c r="K44" s="10"/>
      <c r="L44" s="52">
        <f>1*G44</f>
        <v>0</v>
      </c>
      <c r="M44" s="10">
        <f t="shared" si="10"/>
        <v>0</v>
      </c>
      <c r="N44" s="22">
        <v>6</v>
      </c>
      <c r="O44" s="22">
        <f t="shared" si="4"/>
        <v>0</v>
      </c>
      <c r="P44" s="22">
        <f>M49*2</f>
        <v>0</v>
      </c>
      <c r="Q44" s="22">
        <f t="shared" si="6"/>
        <v>0</v>
      </c>
      <c r="R44" s="71">
        <f t="shared" si="7"/>
        <v>0</v>
      </c>
    </row>
    <row r="45" spans="2:18" ht="15" hidden="1" x14ac:dyDescent="0.15">
      <c r="B45" s="56"/>
      <c r="C45" s="56">
        <v>0</v>
      </c>
      <c r="D45" s="56">
        <f t="shared" si="11"/>
        <v>0</v>
      </c>
      <c r="E45" s="52">
        <f t="shared" si="12"/>
        <v>0</v>
      </c>
      <c r="F45" s="52">
        <f t="shared" si="8"/>
        <v>0</v>
      </c>
      <c r="G45" s="56">
        <f t="shared" si="9"/>
        <v>0</v>
      </c>
      <c r="H45" s="56">
        <v>7050</v>
      </c>
      <c r="I45" s="10" t="s">
        <v>56</v>
      </c>
      <c r="J45" s="10"/>
      <c r="K45" s="10"/>
      <c r="L45" s="52">
        <f>1*G45</f>
        <v>0</v>
      </c>
      <c r="M45" s="10">
        <f t="shared" si="10"/>
        <v>0</v>
      </c>
      <c r="N45" s="22">
        <v>8</v>
      </c>
      <c r="O45" s="22">
        <f t="shared" si="4"/>
        <v>0</v>
      </c>
      <c r="P45" s="22">
        <f>M50*2</f>
        <v>0</v>
      </c>
      <c r="Q45" s="22">
        <f t="shared" si="6"/>
        <v>0</v>
      </c>
      <c r="R45" s="71">
        <f t="shared" si="7"/>
        <v>0</v>
      </c>
    </row>
    <row r="46" spans="2:18" ht="15" hidden="1" x14ac:dyDescent="0.15">
      <c r="B46" s="56"/>
      <c r="C46" s="56">
        <v>0</v>
      </c>
      <c r="D46" s="56">
        <f t="shared" si="11"/>
        <v>0</v>
      </c>
      <c r="E46" s="52">
        <f t="shared" si="12"/>
        <v>0</v>
      </c>
      <c r="F46" s="52">
        <f t="shared" si="8"/>
        <v>0</v>
      </c>
      <c r="G46" s="56">
        <f t="shared" si="9"/>
        <v>0</v>
      </c>
      <c r="H46" s="56">
        <v>30250</v>
      </c>
      <c r="I46" s="10" t="s">
        <v>57</v>
      </c>
      <c r="J46" s="10"/>
      <c r="K46" s="10"/>
      <c r="L46" s="52">
        <f>1*G46</f>
        <v>0</v>
      </c>
      <c r="M46" s="10">
        <f t="shared" si="10"/>
        <v>0</v>
      </c>
      <c r="N46" s="22">
        <v>33</v>
      </c>
      <c r="O46" s="22">
        <f t="shared" si="4"/>
        <v>0</v>
      </c>
      <c r="P46" s="22">
        <f>M51*2</f>
        <v>0</v>
      </c>
      <c r="Q46" s="22">
        <f t="shared" si="6"/>
        <v>0</v>
      </c>
      <c r="R46" s="71">
        <f t="shared" si="7"/>
        <v>0</v>
      </c>
    </row>
    <row r="47" spans="2:18" ht="15" hidden="1" x14ac:dyDescent="0.15">
      <c r="B47" s="56"/>
      <c r="C47" s="56">
        <v>0</v>
      </c>
      <c r="D47" s="56">
        <f t="shared" si="11"/>
        <v>0</v>
      </c>
      <c r="E47" s="52">
        <f t="shared" si="12"/>
        <v>0</v>
      </c>
      <c r="F47" s="52">
        <f>4*D47</f>
        <v>0</v>
      </c>
      <c r="G47" s="56">
        <f t="shared" si="9"/>
        <v>0</v>
      </c>
      <c r="H47" s="56">
        <v>64450</v>
      </c>
      <c r="I47" s="10" t="s">
        <v>58</v>
      </c>
      <c r="J47" s="10"/>
      <c r="K47" s="10"/>
      <c r="L47" s="52">
        <f>1*G47</f>
        <v>0</v>
      </c>
      <c r="M47" s="10">
        <f t="shared" si="10"/>
        <v>0</v>
      </c>
      <c r="N47" s="22">
        <v>78</v>
      </c>
      <c r="O47" s="22">
        <f t="shared" si="4"/>
        <v>0</v>
      </c>
      <c r="P47" s="22">
        <f>M52*2</f>
        <v>0</v>
      </c>
      <c r="Q47" s="22">
        <f t="shared" si="6"/>
        <v>0</v>
      </c>
      <c r="R47" s="71">
        <f t="shared" si="7"/>
        <v>0</v>
      </c>
    </row>
    <row r="48" spans="2:18" ht="15" hidden="1" x14ac:dyDescent="0.15">
      <c r="B48" s="57"/>
      <c r="C48" s="57">
        <v>6</v>
      </c>
      <c r="D48" s="57">
        <f t="shared" si="11"/>
        <v>0</v>
      </c>
      <c r="E48" s="52">
        <v>0</v>
      </c>
      <c r="F48" s="58">
        <f>89*2*C48</f>
        <v>1068</v>
      </c>
      <c r="G48" s="57">
        <f>C48*89</f>
        <v>534</v>
      </c>
      <c r="H48" s="57">
        <v>1400</v>
      </c>
      <c r="I48" s="66">
        <v>1400</v>
      </c>
      <c r="J48" s="10"/>
      <c r="K48" s="10"/>
      <c r="L48" s="81">
        <v>0</v>
      </c>
      <c r="M48" s="65">
        <f t="shared" si="10"/>
        <v>1068</v>
      </c>
      <c r="N48" s="62">
        <v>2</v>
      </c>
      <c r="O48" s="22">
        <f t="shared" si="4"/>
        <v>0</v>
      </c>
      <c r="P48" s="22">
        <f>M53*2</f>
        <v>0</v>
      </c>
      <c r="Q48" s="22">
        <f t="shared" si="6"/>
        <v>0</v>
      </c>
      <c r="R48" s="71">
        <f t="shared" si="7"/>
        <v>0</v>
      </c>
    </row>
    <row r="49" spans="2:18" ht="15" hidden="1" x14ac:dyDescent="0.15">
      <c r="B49" s="79"/>
      <c r="C49" s="79">
        <v>0</v>
      </c>
      <c r="D49" s="56">
        <f t="shared" si="11"/>
        <v>0</v>
      </c>
      <c r="E49" s="52">
        <f t="shared" si="12"/>
        <v>0</v>
      </c>
      <c r="F49" s="52">
        <f t="shared" si="8"/>
        <v>0</v>
      </c>
      <c r="G49" s="80">
        <f t="shared" si="9"/>
        <v>0</v>
      </c>
      <c r="H49" s="80">
        <v>0</v>
      </c>
      <c r="I49" s="10" t="s">
        <v>59</v>
      </c>
      <c r="J49" s="10"/>
      <c r="K49" s="10"/>
      <c r="L49" s="81">
        <f>2*G49</f>
        <v>0</v>
      </c>
      <c r="M49" s="65">
        <f t="shared" si="10"/>
        <v>0</v>
      </c>
      <c r="N49" s="62">
        <v>0</v>
      </c>
      <c r="O49" s="67">
        <f t="shared" ref="O49:R49" si="13">SUM(O36:O48)</f>
        <v>2034</v>
      </c>
      <c r="P49" s="67">
        <f t="shared" si="13"/>
        <v>8412</v>
      </c>
      <c r="Q49" s="67">
        <f t="shared" si="13"/>
        <v>5274</v>
      </c>
      <c r="R49" s="67">
        <f t="shared" si="13"/>
        <v>0</v>
      </c>
    </row>
    <row r="50" spans="2:18" ht="15" hidden="1" x14ac:dyDescent="0.15">
      <c r="B50" s="79"/>
      <c r="C50" s="79">
        <v>0</v>
      </c>
      <c r="D50" s="56">
        <f t="shared" si="11"/>
        <v>0</v>
      </c>
      <c r="E50" s="52">
        <f t="shared" si="12"/>
        <v>0</v>
      </c>
      <c r="F50" s="52">
        <f t="shared" si="8"/>
        <v>0</v>
      </c>
      <c r="G50" s="80">
        <f t="shared" si="9"/>
        <v>0</v>
      </c>
      <c r="H50" s="80">
        <v>0</v>
      </c>
      <c r="I50" s="10" t="s">
        <v>60</v>
      </c>
      <c r="J50" s="10"/>
      <c r="K50" s="10"/>
      <c r="L50" s="81">
        <f>3*G50</f>
        <v>0</v>
      </c>
      <c r="M50" s="65">
        <f t="shared" si="10"/>
        <v>0</v>
      </c>
      <c r="N50" s="62">
        <v>0</v>
      </c>
    </row>
    <row r="51" spans="2:18" ht="15" hidden="1" x14ac:dyDescent="0.15">
      <c r="B51" s="79"/>
      <c r="C51" s="79">
        <v>0</v>
      </c>
      <c r="D51" s="56">
        <f t="shared" si="11"/>
        <v>0</v>
      </c>
      <c r="E51" s="52">
        <f t="shared" si="12"/>
        <v>0</v>
      </c>
      <c r="F51" s="52">
        <f t="shared" si="8"/>
        <v>0</v>
      </c>
      <c r="G51" s="80">
        <f t="shared" si="9"/>
        <v>0</v>
      </c>
      <c r="H51" s="80">
        <v>0</v>
      </c>
      <c r="I51" s="10" t="s">
        <v>61</v>
      </c>
      <c r="J51" s="10"/>
      <c r="K51" s="10"/>
      <c r="L51" s="81">
        <f>3*G51</f>
        <v>0</v>
      </c>
      <c r="M51" s="65">
        <f t="shared" si="10"/>
        <v>0</v>
      </c>
      <c r="N51" s="62">
        <v>0</v>
      </c>
    </row>
    <row r="52" spans="2:18" ht="15" hidden="1" x14ac:dyDescent="0.15">
      <c r="B52" s="79"/>
      <c r="C52" s="79">
        <v>0</v>
      </c>
      <c r="D52" s="56">
        <f t="shared" si="11"/>
        <v>0</v>
      </c>
      <c r="E52" s="52">
        <f t="shared" si="12"/>
        <v>0</v>
      </c>
      <c r="F52" s="52">
        <f t="shared" si="8"/>
        <v>0</v>
      </c>
      <c r="G52" s="80">
        <f t="shared" si="9"/>
        <v>0</v>
      </c>
      <c r="H52" s="80">
        <v>0</v>
      </c>
      <c r="I52" s="10" t="s">
        <v>62</v>
      </c>
      <c r="J52" s="10"/>
      <c r="K52" s="10"/>
      <c r="L52" s="81">
        <f>4*G52</f>
        <v>0</v>
      </c>
      <c r="M52" s="65">
        <f t="shared" si="10"/>
        <v>0</v>
      </c>
      <c r="N52" s="62">
        <v>0</v>
      </c>
    </row>
    <row r="53" spans="2:18" ht="15" hidden="1" x14ac:dyDescent="0.15">
      <c r="B53" s="79"/>
      <c r="C53" s="79">
        <v>0</v>
      </c>
      <c r="D53" s="56">
        <f t="shared" si="11"/>
        <v>0</v>
      </c>
      <c r="E53" s="52">
        <f t="shared" si="12"/>
        <v>0</v>
      </c>
      <c r="F53" s="52">
        <f t="shared" si="8"/>
        <v>0</v>
      </c>
      <c r="G53" s="80">
        <f t="shared" si="9"/>
        <v>0</v>
      </c>
      <c r="H53" s="80">
        <v>0</v>
      </c>
      <c r="I53" s="10" t="s">
        <v>63</v>
      </c>
      <c r="J53" s="10"/>
      <c r="K53" s="10"/>
      <c r="L53" s="81">
        <f>4*G53</f>
        <v>0</v>
      </c>
      <c r="M53" s="65">
        <f t="shared" si="10"/>
        <v>0</v>
      </c>
      <c r="N53" s="62">
        <v>0</v>
      </c>
    </row>
    <row r="54" spans="2:18" ht="14.25" hidden="1" x14ac:dyDescent="0.15">
      <c r="B54" s="59"/>
      <c r="C54" s="59"/>
      <c r="D54" s="67">
        <f>SUM(D41:D53)</f>
        <v>0</v>
      </c>
      <c r="E54" s="67">
        <f t="shared" ref="E54:H54" si="14">SUM(E41:E53)</f>
        <v>-966</v>
      </c>
      <c r="F54" s="67">
        <f t="shared" si="14"/>
        <v>3000</v>
      </c>
      <c r="G54" s="67">
        <f t="shared" si="14"/>
        <v>1500</v>
      </c>
      <c r="H54" s="67">
        <f t="shared" si="14"/>
        <v>115750</v>
      </c>
      <c r="I54" s="67"/>
      <c r="J54" s="67"/>
      <c r="K54" s="67"/>
      <c r="L54" s="67">
        <f>SUM(L41:L53)</f>
        <v>0</v>
      </c>
      <c r="M54" s="67">
        <f>SUM(M41:M43)</f>
        <v>4206</v>
      </c>
      <c r="N54" s="67">
        <f t="shared" ref="N54" si="15">SUM(N41:N53)</f>
        <v>138</v>
      </c>
    </row>
    <row r="55" spans="2:18" hidden="1" x14ac:dyDescent="0.15"/>
    <row r="56" spans="2:18" hidden="1" x14ac:dyDescent="0.15">
      <c r="C56" s="30">
        <f t="shared" ref="C56:C68" si="16">G41*H41</f>
        <v>78000</v>
      </c>
      <c r="D56" s="30" t="e">
        <f>#REF!*#REF!</f>
        <v>#REF!</v>
      </c>
      <c r="E56" s="30" t="e">
        <f>#REF!*#REF!</f>
        <v>#REF!</v>
      </c>
      <c r="G56" s="33">
        <v>1300</v>
      </c>
      <c r="H56" s="33">
        <f>G41+G44</f>
        <v>60</v>
      </c>
      <c r="I56" s="34">
        <f t="shared" ref="I56:I63" si="17">G56*H56</f>
        <v>78000</v>
      </c>
      <c r="L56" s="30" t="e">
        <f>#REF!+#REF!+L54</f>
        <v>#REF!</v>
      </c>
    </row>
    <row r="57" spans="2:18" hidden="1" x14ac:dyDescent="0.15">
      <c r="C57" s="30">
        <f t="shared" si="16"/>
        <v>1154400</v>
      </c>
      <c r="D57" s="30" t="e">
        <f>#REF!*#REF!</f>
        <v>#REF!</v>
      </c>
      <c r="E57" s="30" t="e">
        <f>#REF!*#REF!</f>
        <v>#REF!</v>
      </c>
      <c r="G57" s="33">
        <v>2600</v>
      </c>
      <c r="H57" s="33">
        <f>G42</f>
        <v>444</v>
      </c>
      <c r="I57" s="34">
        <f t="shared" si="17"/>
        <v>1154400</v>
      </c>
    </row>
    <row r="58" spans="2:18" hidden="1" x14ac:dyDescent="0.15">
      <c r="C58" s="30">
        <f t="shared" si="16"/>
        <v>1709400</v>
      </c>
      <c r="D58" s="30" t="e">
        <f>#REF!*#REF!</f>
        <v>#REF!</v>
      </c>
      <c r="E58" s="30" t="e">
        <f>#REF!*#REF!</f>
        <v>#REF!</v>
      </c>
      <c r="G58" s="33">
        <v>3700</v>
      </c>
      <c r="H58" s="33">
        <f>G43+G44</f>
        <v>462</v>
      </c>
      <c r="I58" s="34">
        <f t="shared" si="17"/>
        <v>1709400</v>
      </c>
    </row>
    <row r="59" spans="2:18" hidden="1" x14ac:dyDescent="0.15">
      <c r="C59" s="30">
        <f t="shared" si="16"/>
        <v>0</v>
      </c>
      <c r="D59" s="30" t="e">
        <f>#REF!*#REF!</f>
        <v>#REF!</v>
      </c>
      <c r="E59" s="30" t="e">
        <f>#REF!*#REF!</f>
        <v>#REF!</v>
      </c>
      <c r="G59" s="33">
        <v>4650</v>
      </c>
      <c r="H59" s="33">
        <v>0</v>
      </c>
      <c r="I59" s="34">
        <f t="shared" si="17"/>
        <v>0</v>
      </c>
    </row>
    <row r="60" spans="2:18" hidden="1" x14ac:dyDescent="0.15">
      <c r="C60" s="30">
        <f t="shared" si="16"/>
        <v>0</v>
      </c>
      <c r="D60" s="30" t="e">
        <f>#REF!*#REF!</f>
        <v>#REF!</v>
      </c>
      <c r="E60" s="30" t="e">
        <f>#REF!*#REF!</f>
        <v>#REF!</v>
      </c>
      <c r="G60" s="34">
        <v>2400</v>
      </c>
      <c r="H60" s="34">
        <f>G45</f>
        <v>0</v>
      </c>
      <c r="I60" s="34">
        <f t="shared" si="17"/>
        <v>0</v>
      </c>
    </row>
    <row r="61" spans="2:18" hidden="1" x14ac:dyDescent="0.15">
      <c r="C61" s="30">
        <f t="shared" si="16"/>
        <v>0</v>
      </c>
      <c r="D61" s="30" t="e">
        <f>#REF!*#REF!</f>
        <v>#REF!</v>
      </c>
      <c r="E61" s="30" t="e">
        <f>#REF!*#REF!</f>
        <v>#REF!</v>
      </c>
      <c r="G61" s="34">
        <v>2350</v>
      </c>
      <c r="H61" s="34">
        <f>G46</f>
        <v>0</v>
      </c>
      <c r="I61" s="34">
        <f t="shared" si="17"/>
        <v>0</v>
      </c>
    </row>
    <row r="62" spans="2:18" hidden="1" x14ac:dyDescent="0.15">
      <c r="C62" s="30">
        <f t="shared" si="16"/>
        <v>0</v>
      </c>
      <c r="D62" s="30" t="e">
        <f>#REF!*#REF!</f>
        <v>#REF!</v>
      </c>
      <c r="E62" s="30" t="e">
        <f>#REF!*#REF!</f>
        <v>#REF!</v>
      </c>
      <c r="G62" s="34">
        <v>4000</v>
      </c>
      <c r="H62" s="34">
        <f>G47</f>
        <v>0</v>
      </c>
      <c r="I62" s="34">
        <f t="shared" si="17"/>
        <v>0</v>
      </c>
      <c r="M62" s="35" t="s">
        <v>64</v>
      </c>
    </row>
    <row r="63" spans="2:18" ht="14.25" hidden="1" x14ac:dyDescent="0.15">
      <c r="C63" s="30">
        <f t="shared" si="16"/>
        <v>747600</v>
      </c>
      <c r="D63" s="30" t="e">
        <f>#REF!*#REF!</f>
        <v>#REF!</v>
      </c>
      <c r="E63" s="30" t="e">
        <f>#REF!*#REF!</f>
        <v>#REF!</v>
      </c>
      <c r="G63" s="34">
        <v>3900</v>
      </c>
      <c r="H63" s="34">
        <v>0</v>
      </c>
      <c r="I63" s="34">
        <f t="shared" si="17"/>
        <v>0</v>
      </c>
      <c r="L63" s="20">
        <f>C71</f>
        <v>3689400</v>
      </c>
      <c r="M63" s="35">
        <f>I65-L63</f>
        <v>-747600</v>
      </c>
    </row>
    <row r="64" spans="2:18" hidden="1" x14ac:dyDescent="0.15">
      <c r="C64" s="30">
        <f t="shared" si="16"/>
        <v>0</v>
      </c>
      <c r="D64" s="30" t="e">
        <f>#REF!*#REF!</f>
        <v>#REF!</v>
      </c>
      <c r="E64" s="30" t="e">
        <f>#REF!*#REF!</f>
        <v>#REF!</v>
      </c>
    </row>
    <row r="65" spans="3:11" ht="14.25" hidden="1" x14ac:dyDescent="0.15">
      <c r="C65" s="30">
        <f t="shared" si="16"/>
        <v>0</v>
      </c>
      <c r="D65" s="30"/>
      <c r="E65" s="30" t="e">
        <f>#REF!*#REF!</f>
        <v>#REF!</v>
      </c>
      <c r="I65" s="68">
        <f>SUM(I56:I63)</f>
        <v>2941800</v>
      </c>
      <c r="J65" s="69"/>
      <c r="K65" s="69"/>
    </row>
    <row r="66" spans="3:11" hidden="1" x14ac:dyDescent="0.15">
      <c r="C66" s="30">
        <f t="shared" si="16"/>
        <v>0</v>
      </c>
      <c r="D66" s="30" t="e">
        <f>SUM(D56:D65)</f>
        <v>#REF!</v>
      </c>
      <c r="E66" s="30" t="e">
        <f>SUM(E56:E65)</f>
        <v>#REF!</v>
      </c>
    </row>
    <row r="67" spans="3:11" hidden="1" x14ac:dyDescent="0.15">
      <c r="C67" s="30">
        <f t="shared" si="16"/>
        <v>0</v>
      </c>
      <c r="F67" s="30" t="e">
        <f>C71+D66+E66</f>
        <v>#REF!</v>
      </c>
    </row>
    <row r="68" spans="3:11" hidden="1" x14ac:dyDescent="0.15">
      <c r="C68" s="30">
        <f t="shared" si="16"/>
        <v>0</v>
      </c>
    </row>
    <row r="69" spans="3:11" hidden="1" x14ac:dyDescent="0.15">
      <c r="C69" s="30"/>
    </row>
    <row r="70" spans="3:11" hidden="1" x14ac:dyDescent="0.15">
      <c r="C70" s="30"/>
    </row>
    <row r="71" spans="3:11" hidden="1" x14ac:dyDescent="0.15">
      <c r="C71" s="30">
        <f>SUM(C56:C69)</f>
        <v>3689400</v>
      </c>
    </row>
    <row r="72" spans="3:11" hidden="1" x14ac:dyDescent="0.15">
      <c r="E72" s="60"/>
    </row>
  </sheetData>
  <mergeCells count="20">
    <mergeCell ref="D23:G23"/>
    <mergeCell ref="H23:N23"/>
    <mergeCell ref="B15:N16"/>
    <mergeCell ref="B17:N17"/>
    <mergeCell ref="B18:N18"/>
    <mergeCell ref="B19:N19"/>
    <mergeCell ref="B20:N20"/>
    <mergeCell ref="A21:A22"/>
    <mergeCell ref="B21:B22"/>
    <mergeCell ref="C21:C22"/>
    <mergeCell ref="D21:G22"/>
    <mergeCell ref="H21:N22"/>
    <mergeCell ref="A1:N1"/>
    <mergeCell ref="A2:N2"/>
    <mergeCell ref="A3:F3"/>
    <mergeCell ref="G3:N3"/>
    <mergeCell ref="O6:O13"/>
    <mergeCell ref="C10:D10"/>
    <mergeCell ref="C11:D11"/>
    <mergeCell ref="C12:D12"/>
  </mergeCells>
  <phoneticPr fontId="22" type="noConversion"/>
  <printOptions horizontalCentered="1" verticalCentered="1"/>
  <pageMargins left="0" right="0" top="0" bottom="0" header="0" footer="0"/>
  <pageSetup paperSize="9" scale="5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L99"/>
  <sheetViews>
    <sheetView topLeftCell="A10" zoomScaleNormal="100" zoomScaleSheetLayoutView="100" workbookViewId="0">
      <selection activeCell="E16" sqref="E16"/>
    </sheetView>
  </sheetViews>
  <sheetFormatPr defaultColWidth="9" defaultRowHeight="13.5" x14ac:dyDescent="0.15"/>
  <cols>
    <col min="1" max="1" width="10.25" style="31" customWidth="1"/>
    <col min="2" max="2" width="38.25" style="32" bestFit="1" customWidth="1"/>
    <col min="3" max="3" width="14.75" style="33" customWidth="1"/>
    <col min="4" max="4" width="19.5" style="33" bestFit="1" customWidth="1"/>
    <col min="5" max="5" width="14.125" style="30" customWidth="1"/>
    <col min="6" max="6" width="8.75" style="30" customWidth="1"/>
    <col min="7" max="8" width="8.625" style="34" customWidth="1"/>
    <col min="9" max="9" width="13.5" style="34" customWidth="1"/>
    <col min="10" max="11" width="8.625" style="34" customWidth="1"/>
    <col min="12" max="12" width="15.375" style="30" customWidth="1"/>
    <col min="13" max="13" width="12.75" style="35" customWidth="1"/>
    <col min="14" max="14" width="15.375" style="31" customWidth="1"/>
    <col min="15" max="15" width="13.875" style="31" customWidth="1"/>
    <col min="16" max="16" width="12.625" style="31" customWidth="1"/>
    <col min="17" max="17" width="13.125" style="31" customWidth="1"/>
    <col min="18" max="18" width="16.875" style="31" customWidth="1"/>
    <col min="19" max="19" width="25.375" style="31" customWidth="1"/>
    <col min="20" max="20" width="12.5" style="31" customWidth="1"/>
    <col min="21" max="21" width="10.5" style="31" customWidth="1"/>
    <col min="22" max="22" width="9" style="31"/>
    <col min="23" max="23" width="16.375" style="31" customWidth="1"/>
    <col min="24" max="24" width="16.75" style="31" customWidth="1"/>
    <col min="25" max="25" width="9" style="31"/>
    <col min="26" max="26" width="18.625" style="31" customWidth="1"/>
    <col min="27" max="16384" width="9" style="31"/>
  </cols>
  <sheetData>
    <row r="1" spans="1:246" ht="18.75" x14ac:dyDescent="0.15">
      <c r="A1" s="192" t="s">
        <v>0</v>
      </c>
      <c r="B1" s="192"/>
      <c r="C1" s="192"/>
      <c r="D1" s="192"/>
      <c r="E1" s="192"/>
      <c r="F1" s="192"/>
      <c r="G1" s="193"/>
      <c r="H1" s="193"/>
      <c r="I1" s="193"/>
      <c r="J1" s="193"/>
      <c r="K1" s="193"/>
      <c r="L1" s="192"/>
      <c r="M1" s="194"/>
      <c r="N1" s="192"/>
      <c r="O1" s="42"/>
    </row>
    <row r="2" spans="1:246" x14ac:dyDescent="0.15">
      <c r="A2" s="195" t="s">
        <v>354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5"/>
      <c r="M2" s="197"/>
      <c r="N2" s="195"/>
      <c r="O2" s="11"/>
    </row>
    <row r="3" spans="1:246" x14ac:dyDescent="0.15">
      <c r="A3" s="198" t="s">
        <v>361</v>
      </c>
      <c r="B3" s="199"/>
      <c r="C3" s="199"/>
      <c r="D3" s="199"/>
      <c r="E3" s="199"/>
      <c r="F3" s="199"/>
      <c r="G3" s="198"/>
      <c r="H3" s="199"/>
      <c r="I3" s="199"/>
      <c r="J3" s="199"/>
      <c r="K3" s="199"/>
      <c r="L3" s="199"/>
      <c r="M3" s="199"/>
      <c r="N3" s="200"/>
      <c r="O3" s="12"/>
    </row>
    <row r="4" spans="1:246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3"/>
      <c r="P4" s="43"/>
    </row>
    <row r="5" spans="1:246" s="28" customFormat="1" ht="15" x14ac:dyDescent="0.15">
      <c r="A5" s="3" t="s">
        <v>352</v>
      </c>
      <c r="B5" s="36" t="s">
        <v>25</v>
      </c>
      <c r="C5" s="41"/>
      <c r="D5" s="41"/>
      <c r="E5" s="3"/>
      <c r="F5" s="4"/>
      <c r="G5" s="5"/>
      <c r="H5" s="5"/>
      <c r="I5" s="5"/>
      <c r="J5" s="5"/>
      <c r="K5" s="5"/>
      <c r="L5" s="47"/>
      <c r="M5" s="15"/>
      <c r="N5" s="16"/>
      <c r="O5" s="49"/>
      <c r="P5" s="167" t="s">
        <v>320</v>
      </c>
      <c r="Q5" s="18"/>
      <c r="R5" s="18"/>
      <c r="S5" s="18"/>
      <c r="T5" s="31">
        <v>71019</v>
      </c>
      <c r="U5" s="24"/>
      <c r="V5" s="18"/>
      <c r="W5" s="18"/>
      <c r="X5" s="23"/>
      <c r="Y5" s="24"/>
      <c r="Z5" s="23"/>
      <c r="AA5" s="18"/>
      <c r="AB5"/>
      <c r="AC5"/>
      <c r="AD5"/>
      <c r="AE5"/>
    </row>
    <row r="6" spans="1:246" s="28" customFormat="1" ht="15" x14ac:dyDescent="0.15">
      <c r="A6" s="73">
        <v>1</v>
      </c>
      <c r="B6" s="73" t="s">
        <v>313</v>
      </c>
      <c r="C6" s="77">
        <v>1100</v>
      </c>
      <c r="D6" s="74" t="s">
        <v>317</v>
      </c>
      <c r="E6" s="38" t="s">
        <v>14</v>
      </c>
      <c r="F6" s="73" t="s">
        <v>18</v>
      </c>
      <c r="G6" s="75">
        <f>(P6/1.94)</f>
        <v>134.02061855670104</v>
      </c>
      <c r="H6" s="75">
        <v>0</v>
      </c>
      <c r="I6" s="75">
        <f>G6+H6</f>
        <v>134.02061855670104</v>
      </c>
      <c r="J6" s="75"/>
      <c r="K6" s="75"/>
      <c r="L6" s="182">
        <v>1.385</v>
      </c>
      <c r="M6" s="15">
        <f t="shared" ref="M6:M8" si="0">C6*G6*L6/1000</f>
        <v>204.18041237113403</v>
      </c>
      <c r="N6" s="180"/>
      <c r="O6" s="205"/>
      <c r="P6" s="167">
        <v>260</v>
      </c>
      <c r="Q6" s="18"/>
      <c r="R6" s="18"/>
      <c r="S6" s="18"/>
      <c r="T6" s="31">
        <v>71019</v>
      </c>
      <c r="U6" s="24"/>
      <c r="V6" s="18"/>
      <c r="W6" s="18"/>
      <c r="X6" s="23"/>
      <c r="Y6" s="24"/>
      <c r="Z6" s="23"/>
      <c r="AA6" s="18"/>
      <c r="AB6"/>
      <c r="AC6"/>
      <c r="AD6"/>
      <c r="AE6"/>
    </row>
    <row r="7" spans="1:246" s="28" customFormat="1" ht="15" x14ac:dyDescent="0.15">
      <c r="A7" s="73">
        <v>2</v>
      </c>
      <c r="B7" s="73" t="s">
        <v>314</v>
      </c>
      <c r="C7" s="77">
        <v>950</v>
      </c>
      <c r="D7" s="74" t="s">
        <v>317</v>
      </c>
      <c r="E7" s="38" t="s">
        <v>14</v>
      </c>
      <c r="F7" s="73" t="s">
        <v>18</v>
      </c>
      <c r="G7" s="75">
        <f>G6</f>
        <v>134.02061855670104</v>
      </c>
      <c r="H7" s="75">
        <v>0</v>
      </c>
      <c r="I7" s="75">
        <f t="shared" ref="I7:I13" si="1">G7+H7</f>
        <v>134.02061855670104</v>
      </c>
      <c r="J7" s="75"/>
      <c r="K7" s="75"/>
      <c r="L7" s="182">
        <v>1.385</v>
      </c>
      <c r="M7" s="15">
        <f t="shared" si="0"/>
        <v>176.33762886597941</v>
      </c>
      <c r="N7" s="180"/>
      <c r="O7" s="205"/>
      <c r="Q7" s="18"/>
      <c r="R7" s="18"/>
      <c r="S7" s="18"/>
      <c r="T7" s="31">
        <v>71019</v>
      </c>
      <c r="U7" s="24"/>
      <c r="V7" s="18"/>
      <c r="W7" s="18"/>
      <c r="X7" s="23"/>
      <c r="Y7" s="24"/>
      <c r="Z7" s="23"/>
      <c r="AA7" s="18"/>
      <c r="AB7"/>
      <c r="AC7"/>
      <c r="AD7"/>
      <c r="AE7"/>
    </row>
    <row r="8" spans="1:246" s="28" customFormat="1" ht="15" x14ac:dyDescent="0.15">
      <c r="A8" s="73">
        <v>3</v>
      </c>
      <c r="B8" s="73" t="s">
        <v>316</v>
      </c>
      <c r="C8" s="77">
        <v>60</v>
      </c>
      <c r="D8" s="74" t="s">
        <v>317</v>
      </c>
      <c r="E8" s="38" t="s">
        <v>14</v>
      </c>
      <c r="F8" s="73" t="s">
        <v>18</v>
      </c>
      <c r="G8" s="75">
        <f>G6*2</f>
        <v>268.04123711340208</v>
      </c>
      <c r="H8" s="75">
        <v>0</v>
      </c>
      <c r="I8" s="75">
        <f t="shared" si="1"/>
        <v>268.04123711340208</v>
      </c>
      <c r="J8" s="75"/>
      <c r="K8" s="75"/>
      <c r="L8" s="182">
        <v>1.385</v>
      </c>
      <c r="M8" s="15">
        <f t="shared" si="0"/>
        <v>22.27422680412371</v>
      </c>
      <c r="N8" s="180"/>
      <c r="O8" s="205"/>
      <c r="Q8" s="18"/>
      <c r="R8" s="18"/>
      <c r="S8" s="18"/>
      <c r="T8" s="31">
        <v>71019</v>
      </c>
      <c r="U8" s="24"/>
      <c r="V8" s="18"/>
      <c r="W8" s="18"/>
      <c r="X8" s="23"/>
      <c r="Y8" s="24"/>
      <c r="Z8" s="23"/>
      <c r="AA8" s="18"/>
      <c r="AB8"/>
      <c r="AC8"/>
      <c r="AD8"/>
      <c r="AE8"/>
    </row>
    <row r="9" spans="1:246" s="28" customFormat="1" ht="15" x14ac:dyDescent="0.15">
      <c r="A9" s="3">
        <v>4</v>
      </c>
      <c r="B9" s="4" t="s">
        <v>312</v>
      </c>
      <c r="C9" s="3">
        <v>50</v>
      </c>
      <c r="D9" s="74" t="s">
        <v>317</v>
      </c>
      <c r="E9" s="38" t="s">
        <v>14</v>
      </c>
      <c r="F9" s="3" t="s">
        <v>17</v>
      </c>
      <c r="G9" s="5">
        <f>G6*2</f>
        <v>268.04123711340208</v>
      </c>
      <c r="H9" s="39">
        <f>G9*0.003</f>
        <v>0.80412371134020622</v>
      </c>
      <c r="I9" s="5">
        <f t="shared" si="1"/>
        <v>268.84536082474227</v>
      </c>
      <c r="J9" s="5"/>
      <c r="K9" s="5"/>
      <c r="L9" s="44">
        <f>2.31*0.05</f>
        <v>0.11550000000000001</v>
      </c>
      <c r="M9" s="15">
        <f>G9*L9</f>
        <v>30.958762886597942</v>
      </c>
      <c r="N9" s="46"/>
      <c r="O9" s="205"/>
      <c r="Q9" s="18"/>
      <c r="R9" s="18"/>
      <c r="S9" s="18"/>
      <c r="T9" s="31"/>
      <c r="U9" s="24"/>
      <c r="V9" s="18"/>
      <c r="W9" s="18"/>
      <c r="X9" s="23"/>
      <c r="Y9" s="24"/>
      <c r="Z9" s="23"/>
      <c r="AA9" s="18"/>
      <c r="AB9"/>
      <c r="AC9"/>
      <c r="AD9"/>
      <c r="AE9"/>
    </row>
    <row r="10" spans="1:246" s="28" customFormat="1" ht="15" x14ac:dyDescent="0.15">
      <c r="A10" s="3">
        <v>5</v>
      </c>
      <c r="B10" s="40" t="s">
        <v>364</v>
      </c>
      <c r="C10" s="190" t="s">
        <v>66</v>
      </c>
      <c r="D10" s="191"/>
      <c r="E10" s="3" t="s">
        <v>20</v>
      </c>
      <c r="F10" s="3" t="s">
        <v>17</v>
      </c>
      <c r="G10" s="5">
        <f>G9*2</f>
        <v>536.08247422680415</v>
      </c>
      <c r="H10" s="39">
        <f t="shared" ref="H10:H12" si="2">G10*0.003</f>
        <v>1.6082474226804124</v>
      </c>
      <c r="I10" s="5">
        <f t="shared" si="1"/>
        <v>537.69072164948454</v>
      </c>
      <c r="J10" s="5"/>
      <c r="K10" s="5"/>
      <c r="L10" s="22">
        <f>0.016+0.004+0.002+0.0004</f>
        <v>2.24E-2</v>
      </c>
      <c r="M10" s="15">
        <f>G10*L10</f>
        <v>12.008247422680412</v>
      </c>
      <c r="N10" s="37" t="s">
        <v>321</v>
      </c>
      <c r="O10" s="205"/>
      <c r="Q10" s="18"/>
      <c r="R10" s="18"/>
      <c r="S10" s="18"/>
      <c r="T10" s="31"/>
      <c r="U10" s="24"/>
      <c r="V10" s="18"/>
      <c r="W10" s="18"/>
      <c r="X10" s="23"/>
      <c r="Y10" s="24"/>
      <c r="Z10" s="23"/>
      <c r="AA10" s="18"/>
      <c r="AB10"/>
      <c r="AC10"/>
      <c r="AD10"/>
      <c r="AE10"/>
    </row>
    <row r="11" spans="1:246" s="28" customFormat="1" ht="24" x14ac:dyDescent="0.15">
      <c r="A11" s="3">
        <v>5</v>
      </c>
      <c r="B11" s="40" t="s">
        <v>363</v>
      </c>
      <c r="C11" s="190" t="s">
        <v>66</v>
      </c>
      <c r="D11" s="191"/>
      <c r="E11" s="3" t="s">
        <v>20</v>
      </c>
      <c r="F11" s="3" t="s">
        <v>17</v>
      </c>
      <c r="G11" s="5">
        <f>G9</f>
        <v>268.04123711340208</v>
      </c>
      <c r="H11" s="39">
        <f t="shared" si="2"/>
        <v>0.80412371134020622</v>
      </c>
      <c r="I11" s="5">
        <f t="shared" si="1"/>
        <v>268.84536082474227</v>
      </c>
      <c r="J11" s="5"/>
      <c r="K11" s="5"/>
      <c r="L11" s="22">
        <f t="shared" ref="L11:L12" si="3">0.016+0.004+0.002+0.0004</f>
        <v>2.24E-2</v>
      </c>
      <c r="M11" s="15">
        <f>G11*L11</f>
        <v>6.0041237113402062</v>
      </c>
      <c r="N11" s="37" t="s">
        <v>315</v>
      </c>
      <c r="O11" s="205"/>
      <c r="Q11" s="18"/>
      <c r="R11" s="18"/>
      <c r="S11" s="18"/>
      <c r="T11" s="31"/>
      <c r="U11" s="24"/>
      <c r="V11" s="18"/>
      <c r="W11" s="18"/>
      <c r="X11" s="23"/>
      <c r="Y11" s="24"/>
      <c r="Z11" s="23"/>
      <c r="AA11" s="18"/>
      <c r="AB11"/>
      <c r="AC11"/>
      <c r="AD11"/>
      <c r="AE11"/>
    </row>
    <row r="12" spans="1:246" s="28" customFormat="1" ht="24" x14ac:dyDescent="0.15">
      <c r="A12" s="3">
        <v>6</v>
      </c>
      <c r="B12" s="40" t="s">
        <v>363</v>
      </c>
      <c r="C12" s="225" t="s">
        <v>22</v>
      </c>
      <c r="D12" s="226"/>
      <c r="E12" s="3" t="s">
        <v>20</v>
      </c>
      <c r="F12" s="3" t="s">
        <v>17</v>
      </c>
      <c r="G12" s="5">
        <f>G6*4</f>
        <v>536.08247422680415</v>
      </c>
      <c r="H12" s="39">
        <f t="shared" si="2"/>
        <v>1.6082474226804124</v>
      </c>
      <c r="I12" s="5">
        <f t="shared" si="1"/>
        <v>537.69072164948454</v>
      </c>
      <c r="J12" s="5"/>
      <c r="K12" s="5"/>
      <c r="L12" s="22">
        <f t="shared" si="3"/>
        <v>2.24E-2</v>
      </c>
      <c r="M12" s="15">
        <f>G12*L12</f>
        <v>12.008247422680412</v>
      </c>
      <c r="N12" s="37" t="s">
        <v>319</v>
      </c>
      <c r="O12" s="205"/>
      <c r="Q12" s="18"/>
      <c r="R12" s="18"/>
      <c r="S12" s="18"/>
      <c r="T12" s="31"/>
      <c r="U12" s="24"/>
      <c r="V12" s="18"/>
      <c r="W12" s="18"/>
      <c r="X12" s="23"/>
      <c r="Y12" s="24"/>
      <c r="Z12" s="23"/>
      <c r="AA12" s="18"/>
      <c r="AB12"/>
      <c r="AC12"/>
      <c r="AD12"/>
      <c r="AE12"/>
    </row>
    <row r="13" spans="1:246" s="28" customFormat="1" ht="15" x14ac:dyDescent="0.15">
      <c r="A13" s="73">
        <v>7</v>
      </c>
      <c r="B13" s="76" t="s">
        <v>318</v>
      </c>
      <c r="C13" s="77">
        <v>6000</v>
      </c>
      <c r="D13" s="74" t="s">
        <v>317</v>
      </c>
      <c r="E13" s="38" t="s">
        <v>14</v>
      </c>
      <c r="F13" s="73" t="s">
        <v>18</v>
      </c>
      <c r="G13" s="75">
        <f>P6/6*3</f>
        <v>130</v>
      </c>
      <c r="H13" s="75">
        <v>1</v>
      </c>
      <c r="I13" s="75">
        <f t="shared" si="1"/>
        <v>131</v>
      </c>
      <c r="J13" s="75"/>
      <c r="K13" s="75"/>
      <c r="L13" s="182">
        <v>1.385</v>
      </c>
      <c r="M13" s="78">
        <f>G13*L13</f>
        <v>180.05</v>
      </c>
      <c r="N13" s="175"/>
      <c r="O13" s="205"/>
      <c r="Q13" s="18"/>
      <c r="R13" s="18"/>
      <c r="S13" s="18"/>
      <c r="T13" s="31"/>
      <c r="U13" s="24"/>
      <c r="V13" s="18"/>
      <c r="W13" s="18"/>
      <c r="X13" s="23"/>
      <c r="Y13" s="24"/>
      <c r="Z13" s="23"/>
      <c r="AA13" s="18"/>
      <c r="AB13"/>
      <c r="AC13"/>
      <c r="AD13"/>
      <c r="AE13"/>
    </row>
    <row r="14" spans="1:246" s="28" customFormat="1" ht="15" x14ac:dyDescent="0.15">
      <c r="A14" s="3"/>
      <c r="B14" s="4" t="s">
        <v>23</v>
      </c>
      <c r="C14" s="41"/>
      <c r="D14" s="41"/>
      <c r="E14" s="3"/>
      <c r="F14" s="4"/>
      <c r="G14" s="5"/>
      <c r="H14" s="5"/>
      <c r="I14" s="5"/>
      <c r="J14" s="5"/>
      <c r="K14" s="5"/>
      <c r="L14" s="47"/>
      <c r="M14" s="48">
        <f>SUM(M6:M13)</f>
        <v>643.82164948453612</v>
      </c>
      <c r="N14" s="16"/>
      <c r="O14" s="49"/>
      <c r="Q14" s="18"/>
      <c r="R14" s="18"/>
      <c r="S14" s="18">
        <v>57452</v>
      </c>
      <c r="T14" s="31">
        <v>76794</v>
      </c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246" s="28" customFormat="1" ht="15" x14ac:dyDescent="0.15">
      <c r="A15" s="3" t="s">
        <v>353</v>
      </c>
      <c r="B15" s="36" t="s">
        <v>322</v>
      </c>
      <c r="C15" s="41"/>
      <c r="D15" s="41"/>
      <c r="E15" s="3"/>
      <c r="F15" s="4"/>
      <c r="G15" s="5"/>
      <c r="H15" s="5"/>
      <c r="I15" s="5"/>
      <c r="J15" s="5"/>
      <c r="K15" s="5"/>
      <c r="L15" s="47"/>
      <c r="M15" s="15"/>
      <c r="N15" s="16"/>
      <c r="O15" s="17"/>
      <c r="Q15" s="18"/>
      <c r="R15" s="18"/>
      <c r="S15" s="18"/>
      <c r="T15" s="31"/>
      <c r="U15" s="24"/>
      <c r="V15" s="18"/>
      <c r="W15" s="18"/>
      <c r="X15" s="23"/>
      <c r="Y15" s="24"/>
      <c r="Z15" s="23"/>
      <c r="AA15" s="18"/>
      <c r="AB15"/>
      <c r="AC15"/>
      <c r="AD15"/>
      <c r="AE15"/>
    </row>
    <row r="16" spans="1:246" s="29" customFormat="1" ht="14.25" x14ac:dyDescent="0.15">
      <c r="A16" s="3">
        <v>1</v>
      </c>
      <c r="B16" s="4" t="s">
        <v>323</v>
      </c>
      <c r="C16" s="3">
        <v>11300</v>
      </c>
      <c r="D16" s="3" t="s">
        <v>67</v>
      </c>
      <c r="E16" s="186" t="s">
        <v>366</v>
      </c>
      <c r="F16" s="3" t="s">
        <v>280</v>
      </c>
      <c r="G16" s="22">
        <v>2</v>
      </c>
      <c r="H16" s="5">
        <v>0</v>
      </c>
      <c r="I16" s="5">
        <f>G16+H16</f>
        <v>2</v>
      </c>
      <c r="J16" s="5"/>
      <c r="K16" s="5"/>
      <c r="L16" s="182">
        <v>58.15</v>
      </c>
      <c r="M16" s="182">
        <f>L16*C16*I16/1000</f>
        <v>1314.19</v>
      </c>
      <c r="N16" s="46" t="s">
        <v>349</v>
      </c>
      <c r="O16" s="170" t="s">
        <v>357</v>
      </c>
      <c r="P16" s="22" t="s">
        <v>347</v>
      </c>
      <c r="Q16" s="22">
        <v>4</v>
      </c>
      <c r="U16" s="20"/>
      <c r="V16" s="20"/>
      <c r="W16" s="20"/>
      <c r="X16" s="20"/>
      <c r="Y16" s="20"/>
      <c r="Z16" s="20"/>
      <c r="AA16"/>
      <c r="AB16"/>
      <c r="AC16"/>
      <c r="AD16"/>
      <c r="AE1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</row>
    <row r="17" spans="1:246" s="29" customFormat="1" ht="14.25" x14ac:dyDescent="0.15">
      <c r="A17" s="3">
        <v>2</v>
      </c>
      <c r="B17" s="4" t="s">
        <v>323</v>
      </c>
      <c r="C17" s="3">
        <v>9200</v>
      </c>
      <c r="D17" s="3" t="s">
        <v>67</v>
      </c>
      <c r="E17" s="186" t="s">
        <v>366</v>
      </c>
      <c r="F17" s="3" t="s">
        <v>280</v>
      </c>
      <c r="G17" s="22">
        <v>2</v>
      </c>
      <c r="H17" s="5">
        <v>0</v>
      </c>
      <c r="I17" s="5">
        <f t="shared" ref="I17:I20" si="4">G17+H17</f>
        <v>2</v>
      </c>
      <c r="J17" s="5"/>
      <c r="K17" s="5"/>
      <c r="L17" s="182">
        <v>58.15</v>
      </c>
      <c r="M17" s="182">
        <f t="shared" ref="M17:M19" si="5">L17*C17*I17/1000</f>
        <v>1069.96</v>
      </c>
      <c r="N17" s="46" t="s">
        <v>349</v>
      </c>
      <c r="O17" s="22"/>
      <c r="P17" s="22" t="s">
        <v>348</v>
      </c>
      <c r="Q17" s="22">
        <v>5</v>
      </c>
      <c r="R17" s="20"/>
      <c r="S17" s="20"/>
      <c r="U17" s="20"/>
      <c r="V17" s="20"/>
      <c r="W17" s="20"/>
      <c r="X17" s="20"/>
      <c r="Y17" s="20"/>
      <c r="Z17" s="20"/>
      <c r="AA17"/>
      <c r="AB17"/>
      <c r="AC17"/>
      <c r="AD17"/>
      <c r="AE17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</row>
    <row r="18" spans="1:246" s="29" customFormat="1" ht="27" x14ac:dyDescent="0.15">
      <c r="A18" s="3">
        <v>3</v>
      </c>
      <c r="B18" s="40" t="s">
        <v>324</v>
      </c>
      <c r="C18" s="3">
        <v>3126</v>
      </c>
      <c r="D18" s="3" t="s">
        <v>67</v>
      </c>
      <c r="E18" s="186" t="s">
        <v>366</v>
      </c>
      <c r="F18" s="3" t="s">
        <v>280</v>
      </c>
      <c r="G18" s="22">
        <f>Q17</f>
        <v>5</v>
      </c>
      <c r="H18" s="5">
        <v>0</v>
      </c>
      <c r="I18" s="5">
        <f t="shared" si="4"/>
        <v>5</v>
      </c>
      <c r="J18" s="5"/>
      <c r="K18" s="5"/>
      <c r="L18" s="182">
        <v>29.48</v>
      </c>
      <c r="M18" s="182">
        <f t="shared" si="5"/>
        <v>460.77239999999995</v>
      </c>
      <c r="N18" s="181" t="s">
        <v>342</v>
      </c>
      <c r="O18" s="51"/>
      <c r="P18" s="28"/>
      <c r="Q18" s="20"/>
      <c r="R18" s="20"/>
      <c r="S18" s="20"/>
      <c r="U18" s="25"/>
      <c r="V18" s="20"/>
      <c r="W18" s="20"/>
      <c r="X18" s="20"/>
      <c r="Y18" s="19"/>
      <c r="Z18" s="25"/>
      <c r="AA18"/>
      <c r="AB18"/>
      <c r="AC18"/>
      <c r="AD18"/>
      <c r="AE1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</row>
    <row r="19" spans="1:246" s="29" customFormat="1" ht="24" customHeight="1" x14ac:dyDescent="0.15">
      <c r="A19" s="3">
        <v>4</v>
      </c>
      <c r="B19" s="40" t="s">
        <v>325</v>
      </c>
      <c r="C19" s="3">
        <v>1000</v>
      </c>
      <c r="D19" s="3" t="s">
        <v>67</v>
      </c>
      <c r="E19" s="186" t="s">
        <v>366</v>
      </c>
      <c r="F19" s="3" t="s">
        <v>280</v>
      </c>
      <c r="G19" s="22">
        <f>G20*6+G21*3</f>
        <v>27</v>
      </c>
      <c r="H19" s="5">
        <v>0</v>
      </c>
      <c r="I19" s="5">
        <f t="shared" si="4"/>
        <v>27</v>
      </c>
      <c r="J19" s="5"/>
      <c r="K19" s="5"/>
      <c r="L19" s="182">
        <v>10</v>
      </c>
      <c r="M19" s="182">
        <f t="shared" si="5"/>
        <v>270</v>
      </c>
      <c r="N19" s="46" t="s">
        <v>349</v>
      </c>
      <c r="O19" s="51"/>
      <c r="P19" s="28"/>
      <c r="Q19" s="20"/>
      <c r="R19" s="20"/>
      <c r="S19" s="20"/>
      <c r="U19" s="25"/>
      <c r="V19" s="20"/>
      <c r="W19" s="20"/>
      <c r="X19" s="20"/>
      <c r="Y19" s="19"/>
      <c r="Z19" s="25"/>
      <c r="AA19"/>
      <c r="AB19"/>
      <c r="AC19"/>
      <c r="AD19"/>
      <c r="AE1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</row>
    <row r="20" spans="1:246" s="29" customFormat="1" ht="15.75" x14ac:dyDescent="0.15">
      <c r="A20" s="3">
        <v>5</v>
      </c>
      <c r="B20" s="40" t="s">
        <v>326</v>
      </c>
      <c r="C20" s="3">
        <v>2450</v>
      </c>
      <c r="D20" s="3" t="s">
        <v>67</v>
      </c>
      <c r="E20" s="186" t="s">
        <v>366</v>
      </c>
      <c r="F20" s="3" t="s">
        <v>344</v>
      </c>
      <c r="G20" s="22">
        <f>Q17-G21</f>
        <v>4</v>
      </c>
      <c r="H20" s="5">
        <v>0</v>
      </c>
      <c r="I20" s="5">
        <f t="shared" si="4"/>
        <v>4</v>
      </c>
      <c r="J20" s="5"/>
      <c r="K20" s="5"/>
      <c r="L20" s="182">
        <v>115.4</v>
      </c>
      <c r="M20" s="182">
        <f>L20*I20</f>
        <v>461.6</v>
      </c>
      <c r="N20" s="46" t="s">
        <v>349</v>
      </c>
      <c r="O20" s="51"/>
      <c r="P20" s="45"/>
      <c r="Q20" s="20"/>
      <c r="R20" s="20"/>
      <c r="S20" s="20"/>
      <c r="U20" s="25"/>
      <c r="V20" s="20"/>
      <c r="W20" s="20"/>
      <c r="X20" s="20"/>
      <c r="Y20" s="19"/>
      <c r="Z20" s="25"/>
      <c r="AA20"/>
      <c r="AB20"/>
      <c r="AC20"/>
      <c r="AD20"/>
      <c r="AE20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</row>
    <row r="21" spans="1:246" s="28" customFormat="1" ht="15" x14ac:dyDescent="0.15">
      <c r="A21" s="3">
        <v>6</v>
      </c>
      <c r="B21" s="4" t="s">
        <v>327</v>
      </c>
      <c r="C21" s="3">
        <v>1225</v>
      </c>
      <c r="D21" s="3" t="s">
        <v>67</v>
      </c>
      <c r="E21" s="186" t="s">
        <v>366</v>
      </c>
      <c r="F21" s="3" t="s">
        <v>344</v>
      </c>
      <c r="G21" s="22">
        <f>1</f>
        <v>1</v>
      </c>
      <c r="H21" s="5">
        <v>0</v>
      </c>
      <c r="I21" s="5">
        <f>G21+H21</f>
        <v>1</v>
      </c>
      <c r="J21" s="5"/>
      <c r="K21" s="5"/>
      <c r="L21" s="182">
        <v>57.7</v>
      </c>
      <c r="M21" s="182">
        <f>L21*I21</f>
        <v>57.7</v>
      </c>
      <c r="N21" s="46" t="s">
        <v>349</v>
      </c>
      <c r="O21" s="49"/>
      <c r="Q21" s="18"/>
      <c r="R21" s="18">
        <v>29195</v>
      </c>
      <c r="S21" s="18">
        <v>57452</v>
      </c>
      <c r="T21" s="31">
        <v>76794</v>
      </c>
      <c r="U21" s="24"/>
      <c r="V21" s="18"/>
      <c r="W21" s="18"/>
      <c r="X21" s="23"/>
      <c r="Y21" s="24"/>
      <c r="Z21" s="23"/>
      <c r="AA21" s="18"/>
      <c r="AB21"/>
      <c r="AC21"/>
      <c r="AD21"/>
      <c r="AE21"/>
    </row>
    <row r="22" spans="1:246" s="29" customFormat="1" ht="15.75" x14ac:dyDescent="0.15">
      <c r="A22" s="3">
        <v>7</v>
      </c>
      <c r="B22" s="4" t="s">
        <v>328</v>
      </c>
      <c r="C22" s="3">
        <v>6400</v>
      </c>
      <c r="D22" s="3" t="s">
        <v>67</v>
      </c>
      <c r="E22" s="186" t="s">
        <v>366</v>
      </c>
      <c r="F22" s="3" t="s">
        <v>280</v>
      </c>
      <c r="G22" s="22">
        <f>2*Q16</f>
        <v>8</v>
      </c>
      <c r="H22" s="5">
        <v>0</v>
      </c>
      <c r="I22" s="5">
        <f t="shared" ref="I22:I25" si="6">G22+H22</f>
        <v>8</v>
      </c>
      <c r="J22" s="5"/>
      <c r="K22" s="5"/>
      <c r="L22" s="182">
        <v>22.64</v>
      </c>
      <c r="M22" s="182">
        <f t="shared" ref="M22:M24" si="7">L22*C22*I22/1000</f>
        <v>1159.1679999999999</v>
      </c>
      <c r="N22" s="46" t="s">
        <v>349</v>
      </c>
      <c r="O22" s="82"/>
      <c r="P22" s="28"/>
      <c r="Q22" s="20"/>
      <c r="R22" s="20"/>
      <c r="S22" s="20"/>
      <c r="U22" s="25"/>
      <c r="V22" s="20"/>
      <c r="W22" s="20"/>
      <c r="X22" s="20"/>
      <c r="Y22" s="19"/>
      <c r="Z22" s="25"/>
      <c r="AA22"/>
      <c r="AB22"/>
      <c r="AC22"/>
      <c r="AD22"/>
      <c r="AE22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</row>
    <row r="23" spans="1:246" s="29" customFormat="1" ht="15.75" x14ac:dyDescent="0.15">
      <c r="A23" s="3">
        <v>8</v>
      </c>
      <c r="B23" s="40" t="s">
        <v>329</v>
      </c>
      <c r="C23" s="3">
        <v>1000</v>
      </c>
      <c r="D23" s="3" t="s">
        <v>67</v>
      </c>
      <c r="E23" s="186" t="s">
        <v>366</v>
      </c>
      <c r="F23" s="3" t="s">
        <v>344</v>
      </c>
      <c r="G23" s="22">
        <f>13*Q16</f>
        <v>52</v>
      </c>
      <c r="H23" s="5">
        <v>0</v>
      </c>
      <c r="I23" s="5">
        <f t="shared" si="6"/>
        <v>52</v>
      </c>
      <c r="J23" s="5"/>
      <c r="K23" s="5"/>
      <c r="L23" s="182">
        <v>14.04</v>
      </c>
      <c r="M23" s="182">
        <f>L23*I23</f>
        <v>730.07999999999993</v>
      </c>
      <c r="N23" s="46" t="s">
        <v>349</v>
      </c>
      <c r="O23" s="61"/>
      <c r="P23" s="28"/>
      <c r="Q23" s="20"/>
      <c r="R23" s="20"/>
      <c r="S23" s="20"/>
      <c r="U23" s="25"/>
      <c r="V23" s="20"/>
      <c r="W23" s="20"/>
      <c r="X23" s="20"/>
      <c r="Y23" s="19"/>
      <c r="Z23" s="25"/>
      <c r="AA23"/>
      <c r="AB23"/>
      <c r="AC23"/>
      <c r="AD23"/>
      <c r="AE23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</row>
    <row r="24" spans="1:246" s="29" customFormat="1" ht="15.75" x14ac:dyDescent="0.15">
      <c r="A24" s="3">
        <v>9</v>
      </c>
      <c r="B24" s="40" t="s">
        <v>330</v>
      </c>
      <c r="C24" s="3">
        <v>5500</v>
      </c>
      <c r="D24" s="3" t="s">
        <v>67</v>
      </c>
      <c r="E24" s="186" t="s">
        <v>366</v>
      </c>
      <c r="F24" s="3" t="s">
        <v>280</v>
      </c>
      <c r="G24" s="22">
        <f>2</f>
        <v>2</v>
      </c>
      <c r="H24" s="5">
        <v>0</v>
      </c>
      <c r="I24" s="5">
        <f t="shared" si="6"/>
        <v>2</v>
      </c>
      <c r="J24" s="5"/>
      <c r="K24" s="5"/>
      <c r="L24" s="182">
        <v>22.64</v>
      </c>
      <c r="M24" s="182">
        <f t="shared" si="7"/>
        <v>249.04</v>
      </c>
      <c r="N24" s="46" t="s">
        <v>349</v>
      </c>
      <c r="O24" s="50"/>
      <c r="P24" s="28"/>
      <c r="Q24" s="20"/>
      <c r="R24" s="20"/>
      <c r="S24" s="20"/>
      <c r="T24" s="25"/>
      <c r="U24" s="25"/>
      <c r="V24" s="20"/>
      <c r="W24" s="20"/>
      <c r="X24" s="20"/>
      <c r="Y24" s="19"/>
      <c r="Z24" s="25"/>
      <c r="AA24"/>
      <c r="AB24"/>
      <c r="AC24"/>
      <c r="AD24"/>
      <c r="AE24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</row>
    <row r="25" spans="1:246" s="29" customFormat="1" ht="15.75" x14ac:dyDescent="0.15">
      <c r="A25" s="3">
        <v>10</v>
      </c>
      <c r="B25" s="40" t="s">
        <v>331</v>
      </c>
      <c r="C25" s="3">
        <v>1000</v>
      </c>
      <c r="D25" s="3" t="s">
        <v>67</v>
      </c>
      <c r="E25" s="186" t="s">
        <v>366</v>
      </c>
      <c r="F25" s="3" t="s">
        <v>344</v>
      </c>
      <c r="G25" s="22">
        <f>13</f>
        <v>13</v>
      </c>
      <c r="H25" s="5">
        <v>0</v>
      </c>
      <c r="I25" s="5">
        <f t="shared" si="6"/>
        <v>13</v>
      </c>
      <c r="J25" s="5"/>
      <c r="K25" s="5"/>
      <c r="L25" s="182">
        <v>14.04</v>
      </c>
      <c r="M25" s="182">
        <f>L25*I25</f>
        <v>182.51999999999998</v>
      </c>
      <c r="N25" s="46" t="s">
        <v>349</v>
      </c>
      <c r="O25" s="50"/>
      <c r="P25" s="31"/>
      <c r="Q25" s="20"/>
      <c r="R25" s="20"/>
      <c r="S25" s="20"/>
      <c r="T25" s="25"/>
      <c r="U25" s="25"/>
      <c r="V25" s="20"/>
      <c r="W25" s="20"/>
      <c r="X25" s="20"/>
      <c r="Y25" s="19"/>
      <c r="Z25" s="25"/>
      <c r="AA25"/>
      <c r="AB25"/>
      <c r="AC25"/>
      <c r="AD25"/>
      <c r="AE25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</row>
    <row r="26" spans="1:246" s="29" customFormat="1" ht="14.25" x14ac:dyDescent="0.15">
      <c r="A26" s="3">
        <v>11</v>
      </c>
      <c r="B26" s="4" t="s">
        <v>334</v>
      </c>
      <c r="C26" s="3">
        <v>600</v>
      </c>
      <c r="D26" s="3" t="s">
        <v>235</v>
      </c>
      <c r="E26" s="186" t="s">
        <v>366</v>
      </c>
      <c r="F26" s="3" t="s">
        <v>345</v>
      </c>
      <c r="G26" s="22">
        <f>G16+G17</f>
        <v>4</v>
      </c>
      <c r="H26" s="5">
        <v>0</v>
      </c>
      <c r="I26" s="5">
        <f>G26+H26</f>
        <v>4</v>
      </c>
      <c r="J26" s="5"/>
      <c r="K26" s="5"/>
      <c r="L26" s="182">
        <v>37.68</v>
      </c>
      <c r="M26" s="182">
        <f t="shared" ref="M26:M37" si="8">L26*I26</f>
        <v>150.72</v>
      </c>
      <c r="N26" s="46" t="s">
        <v>349</v>
      </c>
      <c r="O26" s="23"/>
      <c r="P26" s="3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</row>
    <row r="27" spans="1:246" s="29" customFormat="1" ht="14.25" x14ac:dyDescent="0.15">
      <c r="A27" s="3">
        <v>12</v>
      </c>
      <c r="B27" s="4" t="s">
        <v>333</v>
      </c>
      <c r="C27" s="3">
        <v>70</v>
      </c>
      <c r="D27" s="3" t="s">
        <v>235</v>
      </c>
      <c r="E27" s="186" t="s">
        <v>366</v>
      </c>
      <c r="F27" s="3" t="s">
        <v>345</v>
      </c>
      <c r="G27" s="22">
        <f>G26*6</f>
        <v>24</v>
      </c>
      <c r="H27" s="5">
        <v>0</v>
      </c>
      <c r="I27" s="5">
        <f t="shared" ref="I27:I31" si="9">G27+H27</f>
        <v>24</v>
      </c>
      <c r="J27" s="5"/>
      <c r="K27" s="5"/>
      <c r="L27" s="182">
        <v>0.154</v>
      </c>
      <c r="M27" s="182">
        <f t="shared" si="8"/>
        <v>3.6959999999999997</v>
      </c>
      <c r="N27" s="9"/>
      <c r="O27" s="23"/>
      <c r="P27" s="3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</row>
    <row r="28" spans="1:246" s="29" customFormat="1" ht="14.25" x14ac:dyDescent="0.15">
      <c r="A28" s="3">
        <v>13</v>
      </c>
      <c r="B28" s="40" t="s">
        <v>332</v>
      </c>
      <c r="C28" s="3">
        <v>250</v>
      </c>
      <c r="D28" s="3" t="s">
        <v>235</v>
      </c>
      <c r="E28" s="186" t="s">
        <v>366</v>
      </c>
      <c r="F28" s="3" t="s">
        <v>345</v>
      </c>
      <c r="G28" s="22">
        <f>G26*4</f>
        <v>16</v>
      </c>
      <c r="H28" s="5">
        <v>0</v>
      </c>
      <c r="I28" s="5">
        <f t="shared" si="9"/>
        <v>16</v>
      </c>
      <c r="J28" s="5"/>
      <c r="K28" s="5"/>
      <c r="L28" s="182">
        <v>2.355</v>
      </c>
      <c r="M28" s="182">
        <f t="shared" si="8"/>
        <v>37.68</v>
      </c>
      <c r="N28" s="16"/>
      <c r="O28" s="23"/>
      <c r="P28" s="3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</row>
    <row r="29" spans="1:246" ht="27" x14ac:dyDescent="0.15">
      <c r="A29" s="3">
        <v>14</v>
      </c>
      <c r="B29" s="40" t="s">
        <v>335</v>
      </c>
      <c r="C29" s="3"/>
      <c r="D29" s="3" t="s">
        <v>235</v>
      </c>
      <c r="E29" s="186" t="s">
        <v>366</v>
      </c>
      <c r="F29" s="3" t="s">
        <v>346</v>
      </c>
      <c r="G29" s="22">
        <f>G27</f>
        <v>24</v>
      </c>
      <c r="H29" s="5">
        <v>0</v>
      </c>
      <c r="I29" s="5">
        <f t="shared" si="9"/>
        <v>24</v>
      </c>
      <c r="J29" s="5"/>
      <c r="K29" s="5"/>
      <c r="L29" s="182">
        <f>2.79+0.089*2+0.031+0.01</f>
        <v>3.0089999999999999</v>
      </c>
      <c r="M29" s="182">
        <f t="shared" si="8"/>
        <v>72.215999999999994</v>
      </c>
      <c r="N29" s="181" t="s">
        <v>343</v>
      </c>
    </row>
    <row r="30" spans="1:246" ht="14.25" x14ac:dyDescent="0.15">
      <c r="A30" s="3">
        <v>15</v>
      </c>
      <c r="B30" s="40" t="s">
        <v>336</v>
      </c>
      <c r="C30" s="3">
        <v>280</v>
      </c>
      <c r="D30" s="3" t="s">
        <v>235</v>
      </c>
      <c r="E30" s="186" t="s">
        <v>366</v>
      </c>
      <c r="F30" s="3" t="s">
        <v>345</v>
      </c>
      <c r="G30" s="22">
        <v>2</v>
      </c>
      <c r="H30" s="5">
        <v>0</v>
      </c>
      <c r="I30" s="5">
        <f t="shared" si="9"/>
        <v>2</v>
      </c>
      <c r="J30" s="5"/>
      <c r="K30" s="5"/>
      <c r="L30" s="182">
        <v>7.0339999999999998</v>
      </c>
      <c r="M30" s="182">
        <f t="shared" si="8"/>
        <v>14.068</v>
      </c>
      <c r="N30" s="37"/>
      <c r="R30" s="31" t="s">
        <v>65</v>
      </c>
      <c r="S30" s="83" t="e">
        <f>O22+#REF!+#REF!</f>
        <v>#REF!</v>
      </c>
    </row>
    <row r="31" spans="1:246" ht="15.75" x14ac:dyDescent="0.15">
      <c r="A31" s="3">
        <v>16</v>
      </c>
      <c r="B31" s="40" t="s">
        <v>337</v>
      </c>
      <c r="C31" s="3">
        <v>400</v>
      </c>
      <c r="D31" s="3" t="s">
        <v>235</v>
      </c>
      <c r="E31" s="186" t="s">
        <v>366</v>
      </c>
      <c r="F31" s="3" t="s">
        <v>345</v>
      </c>
      <c r="G31" s="22">
        <f>G30*6</f>
        <v>12</v>
      </c>
      <c r="H31" s="5">
        <v>0</v>
      </c>
      <c r="I31" s="5">
        <f t="shared" si="9"/>
        <v>12</v>
      </c>
      <c r="J31" s="5"/>
      <c r="K31" s="5"/>
      <c r="L31" s="182">
        <v>0.158</v>
      </c>
      <c r="M31" s="182">
        <f t="shared" si="8"/>
        <v>1.8959999999999999</v>
      </c>
      <c r="N31" s="37"/>
    </row>
    <row r="32" spans="1:246" ht="15" x14ac:dyDescent="0.15">
      <c r="A32" s="3">
        <v>17</v>
      </c>
      <c r="B32" s="4" t="s">
        <v>338</v>
      </c>
      <c r="C32" s="3">
        <v>1050</v>
      </c>
      <c r="D32" s="3" t="s">
        <v>67</v>
      </c>
      <c r="E32" s="186" t="s">
        <v>366</v>
      </c>
      <c r="F32" s="3" t="s">
        <v>280</v>
      </c>
      <c r="G32" s="22">
        <f>G20*4+G21*2+G22*4+G24*4</f>
        <v>58</v>
      </c>
      <c r="H32" s="5">
        <v>0</v>
      </c>
      <c r="I32" s="5">
        <f>G32+H32</f>
        <v>58</v>
      </c>
      <c r="J32" s="5"/>
      <c r="K32" s="5"/>
      <c r="L32" s="182">
        <v>3.6509999999999998</v>
      </c>
      <c r="M32" s="182">
        <f t="shared" si="8"/>
        <v>211.75799999999998</v>
      </c>
      <c r="N32" s="46" t="s">
        <v>349</v>
      </c>
    </row>
    <row r="33" spans="1:15" ht="15" x14ac:dyDescent="0.15">
      <c r="A33" s="3">
        <v>18</v>
      </c>
      <c r="B33" s="4" t="s">
        <v>339</v>
      </c>
      <c r="C33" s="3">
        <v>1000</v>
      </c>
      <c r="D33" s="3" t="s">
        <v>67</v>
      </c>
      <c r="E33" s="186" t="s">
        <v>366</v>
      </c>
      <c r="F33" s="3" t="s">
        <v>280</v>
      </c>
      <c r="G33" s="22">
        <f>G32*2</f>
        <v>116</v>
      </c>
      <c r="H33" s="5">
        <v>0</v>
      </c>
      <c r="I33" s="5">
        <f t="shared" ref="I33:I35" si="10">G33+H33</f>
        <v>116</v>
      </c>
      <c r="J33" s="5"/>
      <c r="K33" s="5"/>
      <c r="L33" s="182">
        <v>1.998</v>
      </c>
      <c r="M33" s="182">
        <f t="shared" si="8"/>
        <v>231.768</v>
      </c>
      <c r="N33" s="46" t="s">
        <v>349</v>
      </c>
    </row>
    <row r="34" spans="1:15" ht="15.75" x14ac:dyDescent="0.15">
      <c r="A34" s="3">
        <v>19</v>
      </c>
      <c r="B34" s="40" t="s">
        <v>340</v>
      </c>
      <c r="C34" s="3">
        <v>1050</v>
      </c>
      <c r="D34" s="3" t="s">
        <v>67</v>
      </c>
      <c r="E34" s="186" t="s">
        <v>366</v>
      </c>
      <c r="F34" s="3" t="s">
        <v>280</v>
      </c>
      <c r="G34" s="22">
        <f>G32+2</f>
        <v>60</v>
      </c>
      <c r="H34" s="5">
        <v>0</v>
      </c>
      <c r="I34" s="5">
        <f t="shared" si="10"/>
        <v>60</v>
      </c>
      <c r="J34" s="5"/>
      <c r="K34" s="5"/>
      <c r="L34" s="182">
        <v>3.129</v>
      </c>
      <c r="M34" s="182">
        <f t="shared" si="8"/>
        <v>187.74</v>
      </c>
      <c r="N34" s="46" t="s">
        <v>349</v>
      </c>
    </row>
    <row r="35" spans="1:15" ht="14.25" x14ac:dyDescent="0.15">
      <c r="A35" s="3">
        <v>20</v>
      </c>
      <c r="B35" s="40" t="s">
        <v>341</v>
      </c>
      <c r="C35" s="3">
        <v>1000</v>
      </c>
      <c r="D35" s="3" t="s">
        <v>67</v>
      </c>
      <c r="E35" s="186" t="s">
        <v>366</v>
      </c>
      <c r="F35" s="3" t="s">
        <v>280</v>
      </c>
      <c r="G35" s="22">
        <f>G32</f>
        <v>58</v>
      </c>
      <c r="H35" s="5">
        <v>0</v>
      </c>
      <c r="I35" s="5">
        <f t="shared" si="10"/>
        <v>58</v>
      </c>
      <c r="J35" s="5"/>
      <c r="K35" s="5"/>
      <c r="L35" s="182">
        <v>2.355</v>
      </c>
      <c r="M35" s="182">
        <f t="shared" si="8"/>
        <v>136.59</v>
      </c>
      <c r="N35" s="46" t="s">
        <v>349</v>
      </c>
    </row>
    <row r="36" spans="1:15" ht="15" x14ac:dyDescent="0.15">
      <c r="A36" s="3">
        <v>21</v>
      </c>
      <c r="B36" s="93" t="s">
        <v>304</v>
      </c>
      <c r="C36" s="184"/>
      <c r="D36" s="38"/>
      <c r="E36" s="9" t="s">
        <v>303</v>
      </c>
      <c r="F36" s="52" t="s">
        <v>308</v>
      </c>
      <c r="G36" s="105">
        <f>(4.2*1.2*0.5+0.7*0.5*0.6*2)*2+(0.5*0.4*1.6)</f>
        <v>6.2</v>
      </c>
      <c r="H36" s="95">
        <f>G36*0.003</f>
        <v>1.8600000000000002E-2</v>
      </c>
      <c r="I36" s="95">
        <f t="shared" ref="I36:I40" si="11">H36+G36</f>
        <v>6.2186000000000003</v>
      </c>
      <c r="J36" s="41"/>
      <c r="K36" s="16"/>
      <c r="L36" s="106">
        <v>0</v>
      </c>
      <c r="M36" s="182">
        <f t="shared" si="8"/>
        <v>0</v>
      </c>
      <c r="N36" s="112"/>
      <c r="O36" s="83" t="e">
        <f>SUM(M41,#REF!,#REF!,M14,#REF!,#REF!)</f>
        <v>#REF!</v>
      </c>
    </row>
    <row r="37" spans="1:15" ht="15" x14ac:dyDescent="0.15">
      <c r="A37" s="3">
        <v>22</v>
      </c>
      <c r="B37" s="93" t="s">
        <v>305</v>
      </c>
      <c r="C37" s="184"/>
      <c r="D37" s="38"/>
      <c r="E37" s="9" t="s">
        <v>309</v>
      </c>
      <c r="F37" s="52" t="s">
        <v>308</v>
      </c>
      <c r="G37" s="105">
        <f>(4.4*1.4*0.1+0.7*0.5*0.1)*4+(0.7*1.8*0.1)</f>
        <v>2.7300000000000004</v>
      </c>
      <c r="H37" s="95">
        <f>G37*0.003</f>
        <v>8.1900000000000011E-3</v>
      </c>
      <c r="I37" s="95">
        <f t="shared" si="11"/>
        <v>2.7381900000000003</v>
      </c>
      <c r="J37" s="41"/>
      <c r="K37" s="16"/>
      <c r="L37" s="106">
        <v>0</v>
      </c>
      <c r="M37" s="182">
        <f t="shared" si="8"/>
        <v>0</v>
      </c>
      <c r="N37" s="112"/>
    </row>
    <row r="38" spans="1:15" ht="15" x14ac:dyDescent="0.15">
      <c r="A38" s="3">
        <v>23</v>
      </c>
      <c r="B38" s="93" t="s">
        <v>300</v>
      </c>
      <c r="C38" s="184"/>
      <c r="D38" s="38"/>
      <c r="E38" s="9" t="s">
        <v>306</v>
      </c>
      <c r="F38" s="52" t="s">
        <v>307</v>
      </c>
      <c r="G38" s="105">
        <f>(0.7*4+0.5*5)*4*11</f>
        <v>233.2</v>
      </c>
      <c r="H38" s="95">
        <v>2</v>
      </c>
      <c r="I38" s="95">
        <f t="shared" si="11"/>
        <v>235.2</v>
      </c>
      <c r="J38" s="41"/>
      <c r="K38" s="16"/>
      <c r="L38" s="106">
        <v>0.39500000000000002</v>
      </c>
      <c r="M38" s="97">
        <f>I38*L38</f>
        <v>92.903999999999996</v>
      </c>
      <c r="N38" s="112"/>
    </row>
    <row r="39" spans="1:15" ht="15" x14ac:dyDescent="0.15">
      <c r="A39" s="3">
        <v>24</v>
      </c>
      <c r="B39" s="93" t="s">
        <v>301</v>
      </c>
      <c r="C39" s="184"/>
      <c r="D39" s="38"/>
      <c r="E39" s="9" t="s">
        <v>306</v>
      </c>
      <c r="F39" s="52" t="s">
        <v>307</v>
      </c>
      <c r="G39" s="105">
        <f>(4.2*9+1.2*29+5.2*9+2.2*29)*2+(4*1.6+11*0.5)</f>
        <v>378.3</v>
      </c>
      <c r="H39" s="95">
        <v>2</v>
      </c>
      <c r="I39" s="95">
        <f t="shared" si="11"/>
        <v>380.3</v>
      </c>
      <c r="J39" s="41"/>
      <c r="K39" s="16"/>
      <c r="L39" s="106">
        <v>0.88800000000000001</v>
      </c>
      <c r="M39" s="97">
        <f>5600*I39*L39/1000</f>
        <v>1891.1558400000001</v>
      </c>
      <c r="N39" s="112"/>
    </row>
    <row r="40" spans="1:15" ht="15" x14ac:dyDescent="0.15">
      <c r="A40" s="3">
        <v>25</v>
      </c>
      <c r="B40" s="93" t="s">
        <v>351</v>
      </c>
      <c r="C40" s="184"/>
      <c r="D40" s="38"/>
      <c r="E40" s="9" t="s">
        <v>306</v>
      </c>
      <c r="F40" s="52" t="s">
        <v>307</v>
      </c>
      <c r="G40" s="105">
        <f>(1.1+0.15)*4*14</f>
        <v>70</v>
      </c>
      <c r="H40" s="95">
        <v>0</v>
      </c>
      <c r="I40" s="95">
        <f t="shared" si="11"/>
        <v>70</v>
      </c>
      <c r="J40" s="41"/>
      <c r="K40" s="16"/>
      <c r="L40" s="106">
        <v>2.4660000000000002</v>
      </c>
      <c r="M40" s="97">
        <f>5600*I40*L40/1000</f>
        <v>966.67200000000014</v>
      </c>
      <c r="N40" s="112"/>
    </row>
    <row r="41" spans="1:15" ht="14.25" x14ac:dyDescent="0.15">
      <c r="A41" s="3"/>
      <c r="B41" s="4" t="s">
        <v>23</v>
      </c>
      <c r="C41" s="41"/>
      <c r="D41" s="41"/>
      <c r="E41" s="3"/>
      <c r="F41" s="4"/>
      <c r="G41" s="5"/>
      <c r="H41" s="5"/>
      <c r="I41" s="5"/>
      <c r="J41" s="5"/>
      <c r="K41" s="5"/>
      <c r="L41" s="47"/>
      <c r="M41" s="48">
        <f>SUM(M16:M40)</f>
        <v>9953.8942399999996</v>
      </c>
      <c r="N41" s="16"/>
    </row>
    <row r="42" spans="1:15" x14ac:dyDescent="0.15">
      <c r="A42" s="8" t="s">
        <v>27</v>
      </c>
      <c r="B42" s="210" t="s">
        <v>28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2"/>
    </row>
    <row r="43" spans="1:15" x14ac:dyDescent="0.15">
      <c r="A43" s="8"/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5"/>
    </row>
    <row r="44" spans="1:15" ht="35.25" customHeight="1" x14ac:dyDescent="0.15">
      <c r="A44" s="53"/>
      <c r="B44" s="216" t="s">
        <v>365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7"/>
      <c r="N44" s="216"/>
    </row>
    <row r="45" spans="1:15" x14ac:dyDescent="0.15">
      <c r="A45" s="9"/>
      <c r="B45" s="218" t="s">
        <v>29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20"/>
    </row>
    <row r="46" spans="1:15" x14ac:dyDescent="0.15">
      <c r="A46" s="9"/>
      <c r="B46" s="218" t="s">
        <v>68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20"/>
    </row>
    <row r="47" spans="1:15" x14ac:dyDescent="0.15">
      <c r="A47" s="9"/>
      <c r="B47" s="221" t="s">
        <v>350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3"/>
      <c r="N47" s="224"/>
    </row>
    <row r="48" spans="1:15" x14ac:dyDescent="0.15">
      <c r="A48" s="206" t="s">
        <v>30</v>
      </c>
      <c r="B48" s="201"/>
      <c r="C48" s="203" t="s">
        <v>31</v>
      </c>
      <c r="D48" s="208"/>
      <c r="E48" s="208"/>
      <c r="F48" s="208"/>
      <c r="G48" s="201"/>
      <c r="H48" s="210" t="s">
        <v>32</v>
      </c>
      <c r="I48" s="211"/>
      <c r="J48" s="211"/>
      <c r="K48" s="211"/>
      <c r="L48" s="211"/>
      <c r="M48" s="211"/>
      <c r="N48" s="212"/>
    </row>
    <row r="49" spans="1:20" x14ac:dyDescent="0.15">
      <c r="A49" s="207"/>
      <c r="B49" s="202"/>
      <c r="C49" s="204"/>
      <c r="D49" s="209"/>
      <c r="E49" s="209"/>
      <c r="F49" s="209"/>
      <c r="G49" s="202"/>
      <c r="H49" s="213"/>
      <c r="I49" s="214"/>
      <c r="J49" s="214"/>
      <c r="K49" s="214"/>
      <c r="L49" s="214"/>
      <c r="M49" s="214"/>
      <c r="N49" s="215"/>
    </row>
    <row r="50" spans="1:20" x14ac:dyDescent="0.15">
      <c r="A50" s="183" t="s">
        <v>33</v>
      </c>
      <c r="B50" s="54"/>
      <c r="C50" s="10" t="s">
        <v>34</v>
      </c>
      <c r="D50" s="187"/>
      <c r="E50" s="187"/>
      <c r="F50" s="187"/>
      <c r="G50" s="188"/>
      <c r="H50" s="189"/>
      <c r="I50" s="187"/>
      <c r="J50" s="187"/>
      <c r="K50" s="187"/>
      <c r="L50" s="187"/>
      <c r="M50" s="187"/>
      <c r="N50" s="188"/>
      <c r="T50" s="31" t="e">
        <f>#REF!+#REF!</f>
        <v>#REF!</v>
      </c>
    </row>
    <row r="51" spans="1:20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20" x14ac:dyDescent="0.15">
      <c r="A52" s="23"/>
      <c r="B52" s="55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8" spans="1:20" ht="14.25" x14ac:dyDescent="0.15">
      <c r="S58" s="67"/>
      <c r="T58" s="67"/>
    </row>
    <row r="61" spans="1:20" hidden="1" x14ac:dyDescent="0.15">
      <c r="O61" s="62" t="s">
        <v>35</v>
      </c>
      <c r="P61" s="62" t="s">
        <v>36</v>
      </c>
      <c r="Q61" s="27"/>
      <c r="R61" s="70" t="s">
        <v>37</v>
      </c>
    </row>
    <row r="62" spans="1:20" ht="40.5" hidden="1" x14ac:dyDescent="0.15">
      <c r="O62" s="6" t="s">
        <v>38</v>
      </c>
      <c r="P62" s="6" t="s">
        <v>39</v>
      </c>
      <c r="Q62" s="26" t="s">
        <v>40</v>
      </c>
      <c r="R62" s="7" t="s">
        <v>41</v>
      </c>
    </row>
    <row r="63" spans="1:20" hidden="1" x14ac:dyDescent="0.15">
      <c r="O63" s="22">
        <f t="shared" ref="O63:O75" si="12">E68+F68</f>
        <v>60</v>
      </c>
      <c r="P63" s="22">
        <f t="shared" ref="P63:P69" si="13">M68*2</f>
        <v>240</v>
      </c>
      <c r="Q63" s="22">
        <f t="shared" ref="Q63:Q75" si="14">M68</f>
        <v>120</v>
      </c>
      <c r="R63" s="71">
        <f t="shared" ref="R63:R75" si="15">L68*2</f>
        <v>0</v>
      </c>
    </row>
    <row r="64" spans="1:20" hidden="1" x14ac:dyDescent="0.15">
      <c r="B64" s="55" t="s">
        <v>42</v>
      </c>
      <c r="O64" s="22">
        <f t="shared" si="12"/>
        <v>444</v>
      </c>
      <c r="P64" s="22">
        <f t="shared" si="13"/>
        <v>3552</v>
      </c>
      <c r="Q64" s="22">
        <f t="shared" si="14"/>
        <v>1776</v>
      </c>
      <c r="R64" s="71">
        <f t="shared" si="15"/>
        <v>0</v>
      </c>
    </row>
    <row r="65" spans="2:18" hidden="1" x14ac:dyDescent="0.15">
      <c r="O65" s="22">
        <f t="shared" si="12"/>
        <v>462</v>
      </c>
      <c r="P65" s="22">
        <f t="shared" si="13"/>
        <v>4620</v>
      </c>
      <c r="Q65" s="22">
        <f t="shared" si="14"/>
        <v>2310</v>
      </c>
      <c r="R65" s="71">
        <f t="shared" si="15"/>
        <v>0</v>
      </c>
    </row>
    <row r="66" spans="2:18" ht="27" hidden="1" x14ac:dyDescent="0.15">
      <c r="B66" s="27"/>
      <c r="C66" s="72" t="s">
        <v>43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63" t="s">
        <v>44</v>
      </c>
      <c r="O66" s="22">
        <f t="shared" si="12"/>
        <v>0</v>
      </c>
      <c r="P66" s="22">
        <f t="shared" si="13"/>
        <v>0</v>
      </c>
      <c r="Q66" s="22">
        <f t="shared" si="14"/>
        <v>0</v>
      </c>
      <c r="R66" s="71">
        <f t="shared" si="15"/>
        <v>0</v>
      </c>
    </row>
    <row r="67" spans="2:18" ht="15" hidden="1" x14ac:dyDescent="0.15">
      <c r="B67" s="9" t="s">
        <v>45</v>
      </c>
      <c r="C67" s="56" t="s">
        <v>46</v>
      </c>
      <c r="D67" s="56" t="s">
        <v>47</v>
      </c>
      <c r="E67" s="52" t="s">
        <v>48</v>
      </c>
      <c r="F67" s="52" t="s">
        <v>49</v>
      </c>
      <c r="G67" s="56" t="s">
        <v>50</v>
      </c>
      <c r="H67" s="56" t="s">
        <v>51</v>
      </c>
      <c r="I67" s="10" t="s">
        <v>52</v>
      </c>
      <c r="J67" s="10"/>
      <c r="K67" s="10"/>
      <c r="L67" s="9" t="s">
        <v>19</v>
      </c>
      <c r="M67" s="10" t="s">
        <v>53</v>
      </c>
      <c r="N67" s="64" t="s">
        <v>54</v>
      </c>
      <c r="O67" s="22">
        <f t="shared" si="12"/>
        <v>0</v>
      </c>
      <c r="P67" s="22">
        <f t="shared" si="13"/>
        <v>0</v>
      </c>
      <c r="Q67" s="22">
        <f t="shared" si="14"/>
        <v>0</v>
      </c>
      <c r="R67" s="71">
        <f t="shared" si="15"/>
        <v>0</v>
      </c>
    </row>
    <row r="68" spans="2:18" ht="15" hidden="1" x14ac:dyDescent="0.15">
      <c r="B68" s="56"/>
      <c r="C68" s="56">
        <v>30</v>
      </c>
      <c r="D68" s="56">
        <f>B68*C68</f>
        <v>0</v>
      </c>
      <c r="E68" s="52">
        <f>(B68-1)*2*C68</f>
        <v>-60</v>
      </c>
      <c r="F68" s="52">
        <f t="shared" ref="F68:F80" si="16">4*C68</f>
        <v>120</v>
      </c>
      <c r="G68" s="56">
        <f t="shared" ref="G68:G80" si="17">C68*2</f>
        <v>60</v>
      </c>
      <c r="H68" s="56">
        <v>1300</v>
      </c>
      <c r="I68" s="10">
        <v>1300</v>
      </c>
      <c r="J68" s="10"/>
      <c r="K68" s="10"/>
      <c r="L68" s="52">
        <f>G68*0</f>
        <v>0</v>
      </c>
      <c r="M68" s="10">
        <f>N68*G68</f>
        <v>120</v>
      </c>
      <c r="N68" s="22">
        <v>2</v>
      </c>
      <c r="O68" s="22">
        <f t="shared" si="12"/>
        <v>0</v>
      </c>
      <c r="P68" s="22">
        <f t="shared" si="13"/>
        <v>0</v>
      </c>
      <c r="Q68" s="22">
        <f t="shared" si="14"/>
        <v>0</v>
      </c>
      <c r="R68" s="71">
        <f t="shared" si="15"/>
        <v>0</v>
      </c>
    </row>
    <row r="69" spans="2:18" ht="15" hidden="1" x14ac:dyDescent="0.15">
      <c r="B69" s="56"/>
      <c r="C69" s="56">
        <v>222</v>
      </c>
      <c r="D69" s="56">
        <f>B69*C69</f>
        <v>0</v>
      </c>
      <c r="E69" s="52">
        <f>(B69-1)*2*C69</f>
        <v>-444</v>
      </c>
      <c r="F69" s="52">
        <f t="shared" si="16"/>
        <v>888</v>
      </c>
      <c r="G69" s="56">
        <f t="shared" si="17"/>
        <v>444</v>
      </c>
      <c r="H69" s="56">
        <v>2600</v>
      </c>
      <c r="I69" s="10">
        <v>2600</v>
      </c>
      <c r="J69" s="10"/>
      <c r="K69" s="10"/>
      <c r="L69" s="52">
        <f>G69*0</f>
        <v>0</v>
      </c>
      <c r="M69" s="10">
        <f t="shared" ref="M69:M80" si="18">N69*G69</f>
        <v>1776</v>
      </c>
      <c r="N69" s="22">
        <v>4</v>
      </c>
      <c r="O69" s="22">
        <f t="shared" si="12"/>
        <v>0</v>
      </c>
      <c r="P69" s="22">
        <f t="shared" si="13"/>
        <v>0</v>
      </c>
      <c r="Q69" s="22">
        <f t="shared" si="14"/>
        <v>0</v>
      </c>
      <c r="R69" s="71">
        <f t="shared" si="15"/>
        <v>0</v>
      </c>
    </row>
    <row r="70" spans="2:18" ht="15" hidden="1" x14ac:dyDescent="0.15">
      <c r="B70" s="56"/>
      <c r="C70" s="56">
        <v>231</v>
      </c>
      <c r="D70" s="56">
        <f t="shared" ref="D70:D80" si="19">B70*C70</f>
        <v>0</v>
      </c>
      <c r="E70" s="52">
        <f>(B70-1)*2*C70</f>
        <v>-462</v>
      </c>
      <c r="F70" s="52">
        <f t="shared" si="16"/>
        <v>924</v>
      </c>
      <c r="G70" s="56">
        <f t="shared" si="17"/>
        <v>462</v>
      </c>
      <c r="H70" s="56">
        <v>3700</v>
      </c>
      <c r="I70" s="10">
        <v>3700</v>
      </c>
      <c r="J70" s="10"/>
      <c r="K70" s="10"/>
      <c r="L70" s="52">
        <f>G70*0</f>
        <v>0</v>
      </c>
      <c r="M70" s="10">
        <f t="shared" si="18"/>
        <v>2310</v>
      </c>
      <c r="N70" s="22">
        <v>5</v>
      </c>
      <c r="O70" s="22">
        <f t="shared" si="12"/>
        <v>1068</v>
      </c>
      <c r="P70" s="22">
        <f>M75*0</f>
        <v>0</v>
      </c>
      <c r="Q70" s="22">
        <f t="shared" si="14"/>
        <v>1068</v>
      </c>
      <c r="R70" s="71">
        <f t="shared" si="15"/>
        <v>0</v>
      </c>
    </row>
    <row r="71" spans="2:18" ht="15" hidden="1" x14ac:dyDescent="0.15">
      <c r="B71" s="56"/>
      <c r="C71" s="56">
        <v>0</v>
      </c>
      <c r="D71" s="56">
        <f t="shared" si="19"/>
        <v>0</v>
      </c>
      <c r="E71" s="52">
        <f t="shared" ref="E71:E80" si="20">(B71-1)*2*C71</f>
        <v>0</v>
      </c>
      <c r="F71" s="52">
        <f t="shared" si="16"/>
        <v>0</v>
      </c>
      <c r="G71" s="56">
        <f t="shared" si="17"/>
        <v>0</v>
      </c>
      <c r="H71" s="56">
        <v>5000</v>
      </c>
      <c r="I71" s="10" t="s">
        <v>55</v>
      </c>
      <c r="J71" s="10"/>
      <c r="K71" s="10"/>
      <c r="L71" s="52">
        <f>1*G71</f>
        <v>0</v>
      </c>
      <c r="M71" s="10">
        <f t="shared" si="18"/>
        <v>0</v>
      </c>
      <c r="N71" s="22">
        <v>6</v>
      </c>
      <c r="O71" s="22">
        <f t="shared" si="12"/>
        <v>0</v>
      </c>
      <c r="P71" s="22">
        <f>M76*2</f>
        <v>0</v>
      </c>
      <c r="Q71" s="22">
        <f t="shared" si="14"/>
        <v>0</v>
      </c>
      <c r="R71" s="71">
        <f t="shared" si="15"/>
        <v>0</v>
      </c>
    </row>
    <row r="72" spans="2:18" ht="15" hidden="1" x14ac:dyDescent="0.15">
      <c r="B72" s="56"/>
      <c r="C72" s="56">
        <v>0</v>
      </c>
      <c r="D72" s="56">
        <f t="shared" si="19"/>
        <v>0</v>
      </c>
      <c r="E72" s="52">
        <f t="shared" si="20"/>
        <v>0</v>
      </c>
      <c r="F72" s="52">
        <f t="shared" si="16"/>
        <v>0</v>
      </c>
      <c r="G72" s="56">
        <f t="shared" si="17"/>
        <v>0</v>
      </c>
      <c r="H72" s="56">
        <v>7050</v>
      </c>
      <c r="I72" s="10" t="s">
        <v>56</v>
      </c>
      <c r="J72" s="10"/>
      <c r="K72" s="10"/>
      <c r="L72" s="52">
        <f>1*G72</f>
        <v>0</v>
      </c>
      <c r="M72" s="10">
        <f t="shared" si="18"/>
        <v>0</v>
      </c>
      <c r="N72" s="22">
        <v>8</v>
      </c>
      <c r="O72" s="22">
        <f t="shared" si="12"/>
        <v>0</v>
      </c>
      <c r="P72" s="22">
        <f>M77*2</f>
        <v>0</v>
      </c>
      <c r="Q72" s="22">
        <f t="shared" si="14"/>
        <v>0</v>
      </c>
      <c r="R72" s="71">
        <f t="shared" si="15"/>
        <v>0</v>
      </c>
    </row>
    <row r="73" spans="2:18" ht="15" hidden="1" x14ac:dyDescent="0.15">
      <c r="B73" s="56"/>
      <c r="C73" s="56">
        <v>0</v>
      </c>
      <c r="D73" s="56">
        <f t="shared" si="19"/>
        <v>0</v>
      </c>
      <c r="E73" s="52">
        <f t="shared" si="20"/>
        <v>0</v>
      </c>
      <c r="F73" s="52">
        <f t="shared" si="16"/>
        <v>0</v>
      </c>
      <c r="G73" s="56">
        <f t="shared" si="17"/>
        <v>0</v>
      </c>
      <c r="H73" s="56">
        <v>30250</v>
      </c>
      <c r="I73" s="10" t="s">
        <v>57</v>
      </c>
      <c r="J73" s="10"/>
      <c r="K73" s="10"/>
      <c r="L73" s="52">
        <f>1*G73</f>
        <v>0</v>
      </c>
      <c r="M73" s="10">
        <f t="shared" si="18"/>
        <v>0</v>
      </c>
      <c r="N73" s="22">
        <v>33</v>
      </c>
      <c r="O73" s="22">
        <f t="shared" si="12"/>
        <v>0</v>
      </c>
      <c r="P73" s="22">
        <f>M78*2</f>
        <v>0</v>
      </c>
      <c r="Q73" s="22">
        <f t="shared" si="14"/>
        <v>0</v>
      </c>
      <c r="R73" s="71">
        <f t="shared" si="15"/>
        <v>0</v>
      </c>
    </row>
    <row r="74" spans="2:18" ht="15" hidden="1" x14ac:dyDescent="0.15">
      <c r="B74" s="56"/>
      <c r="C74" s="56">
        <v>0</v>
      </c>
      <c r="D74" s="56">
        <f t="shared" si="19"/>
        <v>0</v>
      </c>
      <c r="E74" s="52">
        <f t="shared" si="20"/>
        <v>0</v>
      </c>
      <c r="F74" s="52">
        <f>4*D74</f>
        <v>0</v>
      </c>
      <c r="G74" s="56">
        <f t="shared" si="17"/>
        <v>0</v>
      </c>
      <c r="H74" s="56">
        <v>64450</v>
      </c>
      <c r="I74" s="10" t="s">
        <v>58</v>
      </c>
      <c r="J74" s="10"/>
      <c r="K74" s="10"/>
      <c r="L74" s="52">
        <f>1*G74</f>
        <v>0</v>
      </c>
      <c r="M74" s="10">
        <f t="shared" si="18"/>
        <v>0</v>
      </c>
      <c r="N74" s="22">
        <v>78</v>
      </c>
      <c r="O74" s="22">
        <f t="shared" si="12"/>
        <v>0</v>
      </c>
      <c r="P74" s="22">
        <f>M79*2</f>
        <v>0</v>
      </c>
      <c r="Q74" s="22">
        <f t="shared" si="14"/>
        <v>0</v>
      </c>
      <c r="R74" s="71">
        <f t="shared" si="15"/>
        <v>0</v>
      </c>
    </row>
    <row r="75" spans="2:18" ht="15" hidden="1" x14ac:dyDescent="0.15">
      <c r="B75" s="57"/>
      <c r="C75" s="57">
        <v>6</v>
      </c>
      <c r="D75" s="57">
        <f t="shared" si="19"/>
        <v>0</v>
      </c>
      <c r="E75" s="52">
        <v>0</v>
      </c>
      <c r="F75" s="58">
        <f>89*2*C75</f>
        <v>1068</v>
      </c>
      <c r="G75" s="57">
        <f>C75*89</f>
        <v>534</v>
      </c>
      <c r="H75" s="57">
        <v>1400</v>
      </c>
      <c r="I75" s="66">
        <v>1400</v>
      </c>
      <c r="J75" s="10"/>
      <c r="K75" s="10"/>
      <c r="L75" s="81">
        <v>0</v>
      </c>
      <c r="M75" s="65">
        <f t="shared" si="18"/>
        <v>1068</v>
      </c>
      <c r="N75" s="62">
        <v>2</v>
      </c>
      <c r="O75" s="22">
        <f t="shared" si="12"/>
        <v>0</v>
      </c>
      <c r="P75" s="22">
        <f>M80*2</f>
        <v>0</v>
      </c>
      <c r="Q75" s="22">
        <f t="shared" si="14"/>
        <v>0</v>
      </c>
      <c r="R75" s="71">
        <f t="shared" si="15"/>
        <v>0</v>
      </c>
    </row>
    <row r="76" spans="2:18" ht="15" hidden="1" x14ac:dyDescent="0.15">
      <c r="B76" s="79"/>
      <c r="C76" s="79">
        <v>0</v>
      </c>
      <c r="D76" s="56">
        <f t="shared" si="19"/>
        <v>0</v>
      </c>
      <c r="E76" s="52">
        <f t="shared" si="20"/>
        <v>0</v>
      </c>
      <c r="F76" s="52">
        <f t="shared" si="16"/>
        <v>0</v>
      </c>
      <c r="G76" s="80">
        <f t="shared" si="17"/>
        <v>0</v>
      </c>
      <c r="H76" s="80">
        <v>0</v>
      </c>
      <c r="I76" s="10" t="s">
        <v>59</v>
      </c>
      <c r="J76" s="10"/>
      <c r="K76" s="10"/>
      <c r="L76" s="81">
        <f>2*G76</f>
        <v>0</v>
      </c>
      <c r="M76" s="65">
        <f t="shared" si="18"/>
        <v>0</v>
      </c>
      <c r="N76" s="62">
        <v>0</v>
      </c>
      <c r="O76" s="67">
        <f t="shared" ref="O76:R76" si="21">SUM(O63:O75)</f>
        <v>2034</v>
      </c>
      <c r="P76" s="67">
        <f t="shared" si="21"/>
        <v>8412</v>
      </c>
      <c r="Q76" s="67">
        <f t="shared" si="21"/>
        <v>5274</v>
      </c>
      <c r="R76" s="67">
        <f t="shared" si="21"/>
        <v>0</v>
      </c>
    </row>
    <row r="77" spans="2:18" ht="15" hidden="1" x14ac:dyDescent="0.15">
      <c r="B77" s="79"/>
      <c r="C77" s="79">
        <v>0</v>
      </c>
      <c r="D77" s="56">
        <f t="shared" si="19"/>
        <v>0</v>
      </c>
      <c r="E77" s="52">
        <f t="shared" si="20"/>
        <v>0</v>
      </c>
      <c r="F77" s="52">
        <f t="shared" si="16"/>
        <v>0</v>
      </c>
      <c r="G77" s="80">
        <f t="shared" si="17"/>
        <v>0</v>
      </c>
      <c r="H77" s="80">
        <v>0</v>
      </c>
      <c r="I77" s="10" t="s">
        <v>60</v>
      </c>
      <c r="J77" s="10"/>
      <c r="K77" s="10"/>
      <c r="L77" s="81">
        <f>3*G77</f>
        <v>0</v>
      </c>
      <c r="M77" s="65">
        <f t="shared" si="18"/>
        <v>0</v>
      </c>
      <c r="N77" s="62">
        <v>0</v>
      </c>
    </row>
    <row r="78" spans="2:18" ht="15" hidden="1" x14ac:dyDescent="0.15">
      <c r="B78" s="79"/>
      <c r="C78" s="79">
        <v>0</v>
      </c>
      <c r="D78" s="56">
        <f t="shared" si="19"/>
        <v>0</v>
      </c>
      <c r="E78" s="52">
        <f t="shared" si="20"/>
        <v>0</v>
      </c>
      <c r="F78" s="52">
        <f t="shared" si="16"/>
        <v>0</v>
      </c>
      <c r="G78" s="80">
        <f t="shared" si="17"/>
        <v>0</v>
      </c>
      <c r="H78" s="80">
        <v>0</v>
      </c>
      <c r="I78" s="10" t="s">
        <v>61</v>
      </c>
      <c r="J78" s="10"/>
      <c r="K78" s="10"/>
      <c r="L78" s="81">
        <f>3*G78</f>
        <v>0</v>
      </c>
      <c r="M78" s="65">
        <f t="shared" si="18"/>
        <v>0</v>
      </c>
      <c r="N78" s="62">
        <v>0</v>
      </c>
    </row>
    <row r="79" spans="2:18" ht="15" hidden="1" x14ac:dyDescent="0.15">
      <c r="B79" s="79"/>
      <c r="C79" s="79">
        <v>0</v>
      </c>
      <c r="D79" s="56">
        <f t="shared" si="19"/>
        <v>0</v>
      </c>
      <c r="E79" s="52">
        <f t="shared" si="20"/>
        <v>0</v>
      </c>
      <c r="F79" s="52">
        <f t="shared" si="16"/>
        <v>0</v>
      </c>
      <c r="G79" s="80">
        <f t="shared" si="17"/>
        <v>0</v>
      </c>
      <c r="H79" s="80">
        <v>0</v>
      </c>
      <c r="I79" s="10" t="s">
        <v>62</v>
      </c>
      <c r="J79" s="10"/>
      <c r="K79" s="10"/>
      <c r="L79" s="81">
        <f>4*G79</f>
        <v>0</v>
      </c>
      <c r="M79" s="65">
        <f t="shared" si="18"/>
        <v>0</v>
      </c>
      <c r="N79" s="62">
        <v>0</v>
      </c>
    </row>
    <row r="80" spans="2:18" ht="15" hidden="1" x14ac:dyDescent="0.15">
      <c r="B80" s="79"/>
      <c r="C80" s="79">
        <v>0</v>
      </c>
      <c r="D80" s="56">
        <f t="shared" si="19"/>
        <v>0</v>
      </c>
      <c r="E80" s="52">
        <f t="shared" si="20"/>
        <v>0</v>
      </c>
      <c r="F80" s="52">
        <f t="shared" si="16"/>
        <v>0</v>
      </c>
      <c r="G80" s="80">
        <f t="shared" si="17"/>
        <v>0</v>
      </c>
      <c r="H80" s="80">
        <v>0</v>
      </c>
      <c r="I80" s="10" t="s">
        <v>63</v>
      </c>
      <c r="J80" s="10"/>
      <c r="K80" s="10"/>
      <c r="L80" s="81">
        <f>4*G80</f>
        <v>0</v>
      </c>
      <c r="M80" s="65">
        <f t="shared" si="18"/>
        <v>0</v>
      </c>
      <c r="N80" s="62">
        <v>0</v>
      </c>
    </row>
    <row r="81" spans="2:14" ht="14.25" hidden="1" x14ac:dyDescent="0.15">
      <c r="B81" s="59"/>
      <c r="C81" s="59"/>
      <c r="D81" s="67">
        <f>SUM(D68:D80)</f>
        <v>0</v>
      </c>
      <c r="E81" s="67">
        <f t="shared" ref="E81:H81" si="22">SUM(E68:E80)</f>
        <v>-966</v>
      </c>
      <c r="F81" s="67">
        <f t="shared" si="22"/>
        <v>3000</v>
      </c>
      <c r="G81" s="67">
        <f t="shared" si="22"/>
        <v>1500</v>
      </c>
      <c r="H81" s="67">
        <f t="shared" si="22"/>
        <v>115750</v>
      </c>
      <c r="I81" s="67"/>
      <c r="J81" s="67"/>
      <c r="K81" s="67"/>
      <c r="L81" s="67">
        <f>SUM(L68:L80)</f>
        <v>0</v>
      </c>
      <c r="M81" s="67">
        <f>SUM(M68:M70)</f>
        <v>4206</v>
      </c>
      <c r="N81" s="67">
        <f t="shared" ref="N81" si="23">SUM(N68:N80)</f>
        <v>138</v>
      </c>
    </row>
    <row r="82" spans="2:14" hidden="1" x14ac:dyDescent="0.15"/>
    <row r="83" spans="2:14" hidden="1" x14ac:dyDescent="0.15">
      <c r="C83" s="30">
        <f t="shared" ref="C83:C95" si="24">G68*H68</f>
        <v>78000</v>
      </c>
      <c r="D83" s="30" t="e">
        <f>#REF!*#REF!</f>
        <v>#REF!</v>
      </c>
      <c r="E83" s="30" t="e">
        <f>#REF!*#REF!</f>
        <v>#REF!</v>
      </c>
      <c r="G83" s="33">
        <v>1300</v>
      </c>
      <c r="H83" s="33">
        <f>G68+G71</f>
        <v>60</v>
      </c>
      <c r="I83" s="34">
        <f t="shared" ref="I83:I90" si="25">G83*H83</f>
        <v>78000</v>
      </c>
      <c r="L83" s="30" t="e">
        <f>#REF!+#REF!+L81</f>
        <v>#REF!</v>
      </c>
    </row>
    <row r="84" spans="2:14" hidden="1" x14ac:dyDescent="0.15">
      <c r="C84" s="30">
        <f t="shared" si="24"/>
        <v>1154400</v>
      </c>
      <c r="D84" s="30" t="e">
        <f>#REF!*#REF!</f>
        <v>#REF!</v>
      </c>
      <c r="E84" s="30" t="e">
        <f>#REF!*#REF!</f>
        <v>#REF!</v>
      </c>
      <c r="G84" s="33">
        <v>2600</v>
      </c>
      <c r="H84" s="33">
        <f>G69</f>
        <v>444</v>
      </c>
      <c r="I84" s="34">
        <f t="shared" si="25"/>
        <v>1154400</v>
      </c>
    </row>
    <row r="85" spans="2:14" hidden="1" x14ac:dyDescent="0.15">
      <c r="C85" s="30">
        <f t="shared" si="24"/>
        <v>1709400</v>
      </c>
      <c r="D85" s="30" t="e">
        <f>#REF!*#REF!</f>
        <v>#REF!</v>
      </c>
      <c r="E85" s="30" t="e">
        <f>#REF!*#REF!</f>
        <v>#REF!</v>
      </c>
      <c r="G85" s="33">
        <v>3700</v>
      </c>
      <c r="H85" s="33">
        <f>G70+G71</f>
        <v>462</v>
      </c>
      <c r="I85" s="34">
        <f t="shared" si="25"/>
        <v>1709400</v>
      </c>
    </row>
    <row r="86" spans="2:14" hidden="1" x14ac:dyDescent="0.15">
      <c r="C86" s="30">
        <f t="shared" si="24"/>
        <v>0</v>
      </c>
      <c r="D86" s="30" t="e">
        <f>#REF!*#REF!</f>
        <v>#REF!</v>
      </c>
      <c r="E86" s="30" t="e">
        <f>#REF!*#REF!</f>
        <v>#REF!</v>
      </c>
      <c r="G86" s="33">
        <v>4650</v>
      </c>
      <c r="H86" s="33">
        <v>0</v>
      </c>
      <c r="I86" s="34">
        <f t="shared" si="25"/>
        <v>0</v>
      </c>
    </row>
    <row r="87" spans="2:14" hidden="1" x14ac:dyDescent="0.15">
      <c r="C87" s="30">
        <f t="shared" si="24"/>
        <v>0</v>
      </c>
      <c r="D87" s="30" t="e">
        <f>#REF!*#REF!</f>
        <v>#REF!</v>
      </c>
      <c r="E87" s="30" t="e">
        <f>#REF!*#REF!</f>
        <v>#REF!</v>
      </c>
      <c r="G87" s="34">
        <v>2400</v>
      </c>
      <c r="H87" s="34">
        <f>G72</f>
        <v>0</v>
      </c>
      <c r="I87" s="34">
        <f t="shared" si="25"/>
        <v>0</v>
      </c>
    </row>
    <row r="88" spans="2:14" hidden="1" x14ac:dyDescent="0.15">
      <c r="C88" s="30">
        <f t="shared" si="24"/>
        <v>0</v>
      </c>
      <c r="D88" s="30" t="e">
        <f>#REF!*#REF!</f>
        <v>#REF!</v>
      </c>
      <c r="E88" s="30" t="e">
        <f>#REF!*#REF!</f>
        <v>#REF!</v>
      </c>
      <c r="G88" s="34">
        <v>2350</v>
      </c>
      <c r="H88" s="34">
        <f>G73</f>
        <v>0</v>
      </c>
      <c r="I88" s="34">
        <f t="shared" si="25"/>
        <v>0</v>
      </c>
    </row>
    <row r="89" spans="2:14" hidden="1" x14ac:dyDescent="0.15">
      <c r="C89" s="30">
        <f t="shared" si="24"/>
        <v>0</v>
      </c>
      <c r="D89" s="30" t="e">
        <f>#REF!*#REF!</f>
        <v>#REF!</v>
      </c>
      <c r="E89" s="30" t="e">
        <f>#REF!*#REF!</f>
        <v>#REF!</v>
      </c>
      <c r="G89" s="34">
        <v>4000</v>
      </c>
      <c r="H89" s="34">
        <f>G74</f>
        <v>0</v>
      </c>
      <c r="I89" s="34">
        <f t="shared" si="25"/>
        <v>0</v>
      </c>
      <c r="M89" s="35" t="s">
        <v>64</v>
      </c>
    </row>
    <row r="90" spans="2:14" ht="14.25" hidden="1" x14ac:dyDescent="0.15">
      <c r="C90" s="30">
        <f t="shared" si="24"/>
        <v>747600</v>
      </c>
      <c r="D90" s="30" t="e">
        <f>#REF!*#REF!</f>
        <v>#REF!</v>
      </c>
      <c r="E90" s="30" t="e">
        <f>#REF!*#REF!</f>
        <v>#REF!</v>
      </c>
      <c r="G90" s="34">
        <v>3900</v>
      </c>
      <c r="H90" s="34">
        <v>0</v>
      </c>
      <c r="I90" s="34">
        <f t="shared" si="25"/>
        <v>0</v>
      </c>
      <c r="L90" s="20">
        <f>C98</f>
        <v>3689400</v>
      </c>
      <c r="M90" s="35">
        <f>I92-L90</f>
        <v>-747600</v>
      </c>
    </row>
    <row r="91" spans="2:14" hidden="1" x14ac:dyDescent="0.15">
      <c r="C91" s="30">
        <f t="shared" si="24"/>
        <v>0</v>
      </c>
      <c r="D91" s="30" t="e">
        <f>#REF!*#REF!</f>
        <v>#REF!</v>
      </c>
      <c r="E91" s="30" t="e">
        <f>#REF!*#REF!</f>
        <v>#REF!</v>
      </c>
    </row>
    <row r="92" spans="2:14" ht="14.25" hidden="1" x14ac:dyDescent="0.15">
      <c r="C92" s="30">
        <f t="shared" si="24"/>
        <v>0</v>
      </c>
      <c r="D92" s="30"/>
      <c r="E92" s="30" t="e">
        <f>#REF!*#REF!</f>
        <v>#REF!</v>
      </c>
      <c r="I92" s="68">
        <f>SUM(I83:I90)</f>
        <v>2941800</v>
      </c>
      <c r="J92" s="69"/>
      <c r="K92" s="69"/>
    </row>
    <row r="93" spans="2:14" hidden="1" x14ac:dyDescent="0.15">
      <c r="C93" s="30">
        <f t="shared" si="24"/>
        <v>0</v>
      </c>
      <c r="D93" s="30" t="e">
        <f>SUM(D83:D92)</f>
        <v>#REF!</v>
      </c>
      <c r="E93" s="30" t="e">
        <f>SUM(E83:E92)</f>
        <v>#REF!</v>
      </c>
    </row>
    <row r="94" spans="2:14" hidden="1" x14ac:dyDescent="0.15">
      <c r="C94" s="30">
        <f t="shared" si="24"/>
        <v>0</v>
      </c>
      <c r="F94" s="30" t="e">
        <f>C98+D93+E93</f>
        <v>#REF!</v>
      </c>
    </row>
    <row r="95" spans="2:14" hidden="1" x14ac:dyDescent="0.15">
      <c r="C95" s="30">
        <f t="shared" si="24"/>
        <v>0</v>
      </c>
    </row>
    <row r="96" spans="2:14" hidden="1" x14ac:dyDescent="0.15">
      <c r="C96" s="30"/>
    </row>
    <row r="97" spans="3:5" hidden="1" x14ac:dyDescent="0.15">
      <c r="C97" s="30"/>
    </row>
    <row r="98" spans="3:5" hidden="1" x14ac:dyDescent="0.15">
      <c r="C98" s="30">
        <f>SUM(C83:C96)</f>
        <v>3689400</v>
      </c>
    </row>
    <row r="99" spans="3:5" hidden="1" x14ac:dyDescent="0.15">
      <c r="E99" s="60"/>
    </row>
  </sheetData>
  <mergeCells count="20">
    <mergeCell ref="D50:G50"/>
    <mergeCell ref="H50:N50"/>
    <mergeCell ref="B42:N43"/>
    <mergeCell ref="B44:N44"/>
    <mergeCell ref="B45:N45"/>
    <mergeCell ref="B46:N46"/>
    <mergeCell ref="B47:N47"/>
    <mergeCell ref="A48:A49"/>
    <mergeCell ref="B48:B49"/>
    <mergeCell ref="C48:C49"/>
    <mergeCell ref="D48:G49"/>
    <mergeCell ref="H48:N49"/>
    <mergeCell ref="A1:N1"/>
    <mergeCell ref="A2:N2"/>
    <mergeCell ref="A3:F3"/>
    <mergeCell ref="G3:N3"/>
    <mergeCell ref="O6:O13"/>
    <mergeCell ref="C10:D10"/>
    <mergeCell ref="C11:D11"/>
    <mergeCell ref="C12:D12"/>
  </mergeCells>
  <phoneticPr fontId="22" type="noConversion"/>
  <printOptions horizontalCentered="1" verticalCentered="1"/>
  <pageMargins left="0" right="0" top="0" bottom="0" header="0" footer="0"/>
  <pageSetup paperSize="9" scale="5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L99"/>
  <sheetViews>
    <sheetView tabSelected="1" topLeftCell="A16" zoomScaleNormal="100" zoomScaleSheetLayoutView="100" workbookViewId="0">
      <selection activeCell="E19" sqref="E19"/>
    </sheetView>
  </sheetViews>
  <sheetFormatPr defaultColWidth="9" defaultRowHeight="13.5" x14ac:dyDescent="0.15"/>
  <cols>
    <col min="1" max="1" width="10.25" style="31" customWidth="1"/>
    <col min="2" max="2" width="38.25" style="32" bestFit="1" customWidth="1"/>
    <col min="3" max="3" width="14.75" style="33" customWidth="1"/>
    <col min="4" max="4" width="19.5" style="33" bestFit="1" customWidth="1"/>
    <col min="5" max="5" width="14.125" style="30" customWidth="1"/>
    <col min="6" max="6" width="8.75" style="30" customWidth="1"/>
    <col min="7" max="8" width="8.625" style="34" customWidth="1"/>
    <col min="9" max="9" width="13.5" style="34" customWidth="1"/>
    <col min="10" max="11" width="8.625" style="34" customWidth="1"/>
    <col min="12" max="12" width="15.375" style="30" customWidth="1"/>
    <col min="13" max="13" width="12.75" style="35" customWidth="1"/>
    <col min="14" max="14" width="15.375" style="31" customWidth="1"/>
    <col min="15" max="15" width="13.875" style="31" customWidth="1"/>
    <col min="16" max="16" width="12.625" style="31" customWidth="1"/>
    <col min="17" max="17" width="13.125" style="31" customWidth="1"/>
    <col min="18" max="18" width="16.875" style="31" customWidth="1"/>
    <col min="19" max="19" width="25.375" style="31" customWidth="1"/>
    <col min="20" max="20" width="12.5" style="31" customWidth="1"/>
    <col min="21" max="21" width="10.5" style="31" customWidth="1"/>
    <col min="22" max="22" width="9" style="31"/>
    <col min="23" max="23" width="16.375" style="31" customWidth="1"/>
    <col min="24" max="24" width="16.75" style="31" customWidth="1"/>
    <col min="25" max="25" width="9" style="31"/>
    <col min="26" max="26" width="18.625" style="31" customWidth="1"/>
    <col min="27" max="16384" width="9" style="31"/>
  </cols>
  <sheetData>
    <row r="1" spans="1:246" ht="18.75" x14ac:dyDescent="0.15">
      <c r="A1" s="192" t="s">
        <v>0</v>
      </c>
      <c r="B1" s="192"/>
      <c r="C1" s="192"/>
      <c r="D1" s="192"/>
      <c r="E1" s="192"/>
      <c r="F1" s="192"/>
      <c r="G1" s="193"/>
      <c r="H1" s="193"/>
      <c r="I1" s="193"/>
      <c r="J1" s="193"/>
      <c r="K1" s="193"/>
      <c r="L1" s="192"/>
      <c r="M1" s="194"/>
      <c r="N1" s="192"/>
      <c r="O1" s="42"/>
    </row>
    <row r="2" spans="1:246" x14ac:dyDescent="0.15">
      <c r="A2" s="195" t="s">
        <v>354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5"/>
      <c r="M2" s="197"/>
      <c r="N2" s="195"/>
      <c r="O2" s="11"/>
    </row>
    <row r="3" spans="1:246" x14ac:dyDescent="0.15">
      <c r="A3" s="198" t="s">
        <v>362</v>
      </c>
      <c r="B3" s="199"/>
      <c r="C3" s="199"/>
      <c r="D3" s="199"/>
      <c r="E3" s="199"/>
      <c r="F3" s="199"/>
      <c r="G3" s="198"/>
      <c r="H3" s="199"/>
      <c r="I3" s="199"/>
      <c r="J3" s="199"/>
      <c r="K3" s="199"/>
      <c r="L3" s="199"/>
      <c r="M3" s="199"/>
      <c r="N3" s="200"/>
      <c r="O3" s="12"/>
    </row>
    <row r="4" spans="1:246" ht="40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2"/>
      <c r="K4" s="2"/>
      <c r="L4" s="13" t="s">
        <v>10</v>
      </c>
      <c r="M4" s="14" t="s">
        <v>11</v>
      </c>
      <c r="N4" s="1" t="s">
        <v>12</v>
      </c>
      <c r="O4" s="43"/>
      <c r="P4" s="43"/>
    </row>
    <row r="5" spans="1:246" s="28" customFormat="1" ht="15" x14ac:dyDescent="0.15">
      <c r="A5" s="3" t="s">
        <v>352</v>
      </c>
      <c r="B5" s="36" t="s">
        <v>25</v>
      </c>
      <c r="C5" s="41"/>
      <c r="D5" s="41"/>
      <c r="E5" s="3"/>
      <c r="F5" s="4"/>
      <c r="G5" s="5"/>
      <c r="H5" s="5"/>
      <c r="I5" s="5"/>
      <c r="J5" s="5"/>
      <c r="K5" s="5"/>
      <c r="L5" s="47"/>
      <c r="M5" s="15"/>
      <c r="N5" s="16"/>
      <c r="O5" s="49"/>
      <c r="P5" s="167" t="s">
        <v>320</v>
      </c>
      <c r="Q5" s="18"/>
      <c r="R5" s="18"/>
      <c r="S5" s="18"/>
      <c r="T5" s="31">
        <v>71019</v>
      </c>
      <c r="U5" s="24"/>
      <c r="V5" s="18"/>
      <c r="W5" s="18"/>
      <c r="X5" s="23"/>
      <c r="Y5" s="24"/>
      <c r="Z5" s="23"/>
      <c r="AA5" s="18"/>
      <c r="AB5"/>
      <c r="AC5"/>
      <c r="AD5"/>
      <c r="AE5"/>
    </row>
    <row r="6" spans="1:246" s="28" customFormat="1" ht="15" x14ac:dyDescent="0.15">
      <c r="A6" s="73">
        <v>1</v>
      </c>
      <c r="B6" s="73" t="s">
        <v>313</v>
      </c>
      <c r="C6" s="77">
        <v>1100</v>
      </c>
      <c r="D6" s="74" t="s">
        <v>317</v>
      </c>
      <c r="E6" s="38" t="s">
        <v>14</v>
      </c>
      <c r="F6" s="73" t="s">
        <v>18</v>
      </c>
      <c r="G6" s="75">
        <f>(P6/1.94)</f>
        <v>152.06185567010309</v>
      </c>
      <c r="H6" s="75">
        <v>0</v>
      </c>
      <c r="I6" s="75">
        <f>G6+H6</f>
        <v>152.06185567010309</v>
      </c>
      <c r="J6" s="75"/>
      <c r="K6" s="75"/>
      <c r="L6" s="182">
        <v>1.385</v>
      </c>
      <c r="M6" s="15">
        <f t="shared" ref="M6:M8" si="0">C6*G6*L6/1000</f>
        <v>231.66623711340205</v>
      </c>
      <c r="N6" s="180"/>
      <c r="O6" s="205"/>
      <c r="P6" s="167">
        <v>295</v>
      </c>
      <c r="Q6" s="18"/>
      <c r="R6" s="18"/>
      <c r="S6" s="18"/>
      <c r="T6" s="31">
        <v>71019</v>
      </c>
      <c r="U6" s="24"/>
      <c r="V6" s="18"/>
      <c r="W6" s="18"/>
      <c r="X6" s="23"/>
      <c r="Y6" s="24"/>
      <c r="Z6" s="23"/>
      <c r="AA6" s="18"/>
      <c r="AB6"/>
      <c r="AC6"/>
      <c r="AD6"/>
      <c r="AE6"/>
    </row>
    <row r="7" spans="1:246" s="28" customFormat="1" ht="15" x14ac:dyDescent="0.15">
      <c r="A7" s="73">
        <v>2</v>
      </c>
      <c r="B7" s="73" t="s">
        <v>314</v>
      </c>
      <c r="C7" s="77">
        <v>950</v>
      </c>
      <c r="D7" s="74" t="s">
        <v>317</v>
      </c>
      <c r="E7" s="38" t="s">
        <v>14</v>
      </c>
      <c r="F7" s="73" t="s">
        <v>18</v>
      </c>
      <c r="G7" s="75">
        <f>G6</f>
        <v>152.06185567010309</v>
      </c>
      <c r="H7" s="75">
        <v>0</v>
      </c>
      <c r="I7" s="75">
        <f t="shared" ref="I7:I13" si="1">G7+H7</f>
        <v>152.06185567010309</v>
      </c>
      <c r="J7" s="75"/>
      <c r="K7" s="75"/>
      <c r="L7" s="182">
        <v>1.385</v>
      </c>
      <c r="M7" s="15">
        <f t="shared" si="0"/>
        <v>200.07538659793812</v>
      </c>
      <c r="N7" s="180"/>
      <c r="O7" s="205"/>
      <c r="Q7" s="18"/>
      <c r="R7" s="18"/>
      <c r="S7" s="18"/>
      <c r="T7" s="31">
        <v>71019</v>
      </c>
      <c r="U7" s="24"/>
      <c r="V7" s="18"/>
      <c r="W7" s="18"/>
      <c r="X7" s="23"/>
      <c r="Y7" s="24"/>
      <c r="Z7" s="23"/>
      <c r="AA7" s="18"/>
      <c r="AB7"/>
      <c r="AC7"/>
      <c r="AD7"/>
      <c r="AE7"/>
    </row>
    <row r="8" spans="1:246" s="28" customFormat="1" ht="15" x14ac:dyDescent="0.15">
      <c r="A8" s="73">
        <v>3</v>
      </c>
      <c r="B8" s="73" t="s">
        <v>316</v>
      </c>
      <c r="C8" s="77">
        <v>60</v>
      </c>
      <c r="D8" s="74" t="s">
        <v>317</v>
      </c>
      <c r="E8" s="38" t="s">
        <v>14</v>
      </c>
      <c r="F8" s="73" t="s">
        <v>18</v>
      </c>
      <c r="G8" s="75">
        <f>G6*2</f>
        <v>304.12371134020617</v>
      </c>
      <c r="H8" s="75">
        <v>0</v>
      </c>
      <c r="I8" s="75">
        <f t="shared" si="1"/>
        <v>304.12371134020617</v>
      </c>
      <c r="J8" s="75"/>
      <c r="K8" s="75"/>
      <c r="L8" s="182">
        <v>1.385</v>
      </c>
      <c r="M8" s="15">
        <f t="shared" si="0"/>
        <v>25.272680412371134</v>
      </c>
      <c r="N8" s="180"/>
      <c r="O8" s="205"/>
      <c r="Q8" s="18"/>
      <c r="R8" s="18"/>
      <c r="S8" s="18"/>
      <c r="T8" s="31">
        <v>71019</v>
      </c>
      <c r="U8" s="24"/>
      <c r="V8" s="18"/>
      <c r="W8" s="18"/>
      <c r="X8" s="23"/>
      <c r="Y8" s="24"/>
      <c r="Z8" s="23"/>
      <c r="AA8" s="18"/>
      <c r="AB8"/>
      <c r="AC8"/>
      <c r="AD8"/>
      <c r="AE8"/>
    </row>
    <row r="9" spans="1:246" s="28" customFormat="1" ht="15" x14ac:dyDescent="0.15">
      <c r="A9" s="3">
        <v>4</v>
      </c>
      <c r="B9" s="4" t="s">
        <v>312</v>
      </c>
      <c r="C9" s="3">
        <v>50</v>
      </c>
      <c r="D9" s="74" t="s">
        <v>317</v>
      </c>
      <c r="E9" s="38" t="s">
        <v>14</v>
      </c>
      <c r="F9" s="3" t="s">
        <v>17</v>
      </c>
      <c r="G9" s="5">
        <f>G6*2</f>
        <v>304.12371134020617</v>
      </c>
      <c r="H9" s="39">
        <f>G9*0.003</f>
        <v>0.91237113402061853</v>
      </c>
      <c r="I9" s="5">
        <f t="shared" si="1"/>
        <v>305.03608247422682</v>
      </c>
      <c r="J9" s="5"/>
      <c r="K9" s="5"/>
      <c r="L9" s="44">
        <f>2.31*0.05</f>
        <v>0.11550000000000001</v>
      </c>
      <c r="M9" s="15">
        <f>G9*L9</f>
        <v>35.126288659793815</v>
      </c>
      <c r="N9" s="46"/>
      <c r="O9" s="205"/>
      <c r="Q9" s="18"/>
      <c r="R9" s="18"/>
      <c r="S9" s="18"/>
      <c r="T9" s="31"/>
      <c r="U9" s="24"/>
      <c r="V9" s="18"/>
      <c r="W9" s="18"/>
      <c r="X9" s="23"/>
      <c r="Y9" s="24"/>
      <c r="Z9" s="23"/>
      <c r="AA9" s="18"/>
      <c r="AB9"/>
      <c r="AC9"/>
      <c r="AD9"/>
      <c r="AE9"/>
    </row>
    <row r="10" spans="1:246" s="28" customFormat="1" ht="15" x14ac:dyDescent="0.15">
      <c r="A10" s="3">
        <v>5</v>
      </c>
      <c r="B10" s="40" t="s">
        <v>364</v>
      </c>
      <c r="C10" s="190" t="s">
        <v>66</v>
      </c>
      <c r="D10" s="191"/>
      <c r="E10" s="3" t="s">
        <v>20</v>
      </c>
      <c r="F10" s="3" t="s">
        <v>17</v>
      </c>
      <c r="G10" s="5">
        <f>G9*2</f>
        <v>608.24742268041234</v>
      </c>
      <c r="H10" s="39">
        <f t="shared" ref="H10:H12" si="2">G10*0.003</f>
        <v>1.8247422680412371</v>
      </c>
      <c r="I10" s="5">
        <f t="shared" si="1"/>
        <v>610.07216494845363</v>
      </c>
      <c r="J10" s="5"/>
      <c r="K10" s="5"/>
      <c r="L10" s="22">
        <f>0.016+0.004+0.002+0.0004</f>
        <v>2.24E-2</v>
      </c>
      <c r="M10" s="15">
        <f>G10*L10</f>
        <v>13.624742268041237</v>
      </c>
      <c r="N10" s="37" t="s">
        <v>321</v>
      </c>
      <c r="O10" s="205"/>
      <c r="Q10" s="18"/>
      <c r="R10" s="18"/>
      <c r="S10" s="18"/>
      <c r="T10" s="31"/>
      <c r="U10" s="24"/>
      <c r="V10" s="18"/>
      <c r="W10" s="18"/>
      <c r="X10" s="23"/>
      <c r="Y10" s="24"/>
      <c r="Z10" s="23"/>
      <c r="AA10" s="18"/>
      <c r="AB10"/>
      <c r="AC10"/>
      <c r="AD10"/>
      <c r="AE10"/>
    </row>
    <row r="11" spans="1:246" s="28" customFormat="1" ht="24" x14ac:dyDescent="0.15">
      <c r="A11" s="3">
        <v>5</v>
      </c>
      <c r="B11" s="40" t="s">
        <v>363</v>
      </c>
      <c r="C11" s="190" t="s">
        <v>66</v>
      </c>
      <c r="D11" s="191"/>
      <c r="E11" s="3" t="s">
        <v>20</v>
      </c>
      <c r="F11" s="3" t="s">
        <v>17</v>
      </c>
      <c r="G11" s="5">
        <f>G9</f>
        <v>304.12371134020617</v>
      </c>
      <c r="H11" s="39">
        <f t="shared" si="2"/>
        <v>0.91237113402061853</v>
      </c>
      <c r="I11" s="5">
        <f t="shared" si="1"/>
        <v>305.03608247422682</v>
      </c>
      <c r="J11" s="5"/>
      <c r="K11" s="5"/>
      <c r="L11" s="22">
        <f t="shared" ref="L11:L12" si="3">0.016+0.004+0.002+0.0004</f>
        <v>2.24E-2</v>
      </c>
      <c r="M11" s="15">
        <f>G11*L11</f>
        <v>6.8123711340206183</v>
      </c>
      <c r="N11" s="37" t="s">
        <v>315</v>
      </c>
      <c r="O11" s="205"/>
      <c r="Q11" s="18"/>
      <c r="R11" s="18"/>
      <c r="S11" s="18"/>
      <c r="T11" s="31"/>
      <c r="U11" s="24"/>
      <c r="V11" s="18"/>
      <c r="W11" s="18"/>
      <c r="X11" s="23"/>
      <c r="Y11" s="24"/>
      <c r="Z11" s="23"/>
      <c r="AA11" s="18"/>
      <c r="AB11"/>
      <c r="AC11"/>
      <c r="AD11"/>
      <c r="AE11"/>
    </row>
    <row r="12" spans="1:246" s="28" customFormat="1" ht="24" x14ac:dyDescent="0.15">
      <c r="A12" s="3">
        <v>6</v>
      </c>
      <c r="B12" s="40" t="s">
        <v>363</v>
      </c>
      <c r="C12" s="225" t="s">
        <v>22</v>
      </c>
      <c r="D12" s="226"/>
      <c r="E12" s="3" t="s">
        <v>20</v>
      </c>
      <c r="F12" s="3" t="s">
        <v>17</v>
      </c>
      <c r="G12" s="5">
        <f>G6*4</f>
        <v>608.24742268041234</v>
      </c>
      <c r="H12" s="39">
        <f t="shared" si="2"/>
        <v>1.8247422680412371</v>
      </c>
      <c r="I12" s="5">
        <f t="shared" si="1"/>
        <v>610.07216494845363</v>
      </c>
      <c r="J12" s="5"/>
      <c r="K12" s="5"/>
      <c r="L12" s="22">
        <f t="shared" si="3"/>
        <v>2.24E-2</v>
      </c>
      <c r="M12" s="15">
        <f>G12*L12</f>
        <v>13.624742268041237</v>
      </c>
      <c r="N12" s="37" t="s">
        <v>319</v>
      </c>
      <c r="O12" s="205"/>
      <c r="Q12" s="18"/>
      <c r="R12" s="18"/>
      <c r="S12" s="18"/>
      <c r="T12" s="31"/>
      <c r="U12" s="24"/>
      <c r="V12" s="18"/>
      <c r="W12" s="18"/>
      <c r="X12" s="23"/>
      <c r="Y12" s="24"/>
      <c r="Z12" s="23"/>
      <c r="AA12" s="18"/>
      <c r="AB12"/>
      <c r="AC12"/>
      <c r="AD12"/>
      <c r="AE12"/>
    </row>
    <row r="13" spans="1:246" s="28" customFormat="1" ht="15" x14ac:dyDescent="0.15">
      <c r="A13" s="73">
        <v>7</v>
      </c>
      <c r="B13" s="76" t="s">
        <v>318</v>
      </c>
      <c r="C13" s="77">
        <v>6000</v>
      </c>
      <c r="D13" s="74" t="s">
        <v>317</v>
      </c>
      <c r="E13" s="38" t="s">
        <v>14</v>
      </c>
      <c r="F13" s="73" t="s">
        <v>18</v>
      </c>
      <c r="G13" s="75">
        <f>P6/6*3</f>
        <v>147.5</v>
      </c>
      <c r="H13" s="75">
        <v>1</v>
      </c>
      <c r="I13" s="75">
        <f t="shared" si="1"/>
        <v>148.5</v>
      </c>
      <c r="J13" s="75"/>
      <c r="K13" s="75"/>
      <c r="L13" s="182">
        <v>1.385</v>
      </c>
      <c r="M13" s="78">
        <f>G13*L13</f>
        <v>204.28749999999999</v>
      </c>
      <c r="N13" s="175"/>
      <c r="O13" s="205"/>
      <c r="Q13" s="18"/>
      <c r="R13" s="18"/>
      <c r="S13" s="18"/>
      <c r="T13" s="31"/>
      <c r="U13" s="24"/>
      <c r="V13" s="18"/>
      <c r="W13" s="18"/>
      <c r="X13" s="23"/>
      <c r="Y13" s="24"/>
      <c r="Z13" s="23"/>
      <c r="AA13" s="18"/>
      <c r="AB13"/>
      <c r="AC13"/>
      <c r="AD13"/>
      <c r="AE13"/>
    </row>
    <row r="14" spans="1:246" s="28" customFormat="1" ht="15" x14ac:dyDescent="0.15">
      <c r="A14" s="3"/>
      <c r="B14" s="4" t="s">
        <v>23</v>
      </c>
      <c r="C14" s="41"/>
      <c r="D14" s="41"/>
      <c r="E14" s="3"/>
      <c r="F14" s="4"/>
      <c r="G14" s="5"/>
      <c r="H14" s="5"/>
      <c r="I14" s="5"/>
      <c r="J14" s="5"/>
      <c r="K14" s="5"/>
      <c r="L14" s="47"/>
      <c r="M14" s="48">
        <f>SUM(M6:M13)</f>
        <v>730.48994845360824</v>
      </c>
      <c r="N14" s="16"/>
      <c r="O14" s="49"/>
      <c r="Q14" s="18"/>
      <c r="R14" s="18"/>
      <c r="S14" s="18">
        <v>57452</v>
      </c>
      <c r="T14" s="31">
        <v>76794</v>
      </c>
      <c r="U14" s="24"/>
      <c r="V14" s="18"/>
      <c r="W14" s="18"/>
      <c r="X14" s="23"/>
      <c r="Y14" s="24"/>
      <c r="Z14" s="23"/>
      <c r="AA14" s="18"/>
      <c r="AB14"/>
      <c r="AC14"/>
      <c r="AD14"/>
      <c r="AE14"/>
    </row>
    <row r="15" spans="1:246" s="28" customFormat="1" ht="15" x14ac:dyDescent="0.15">
      <c r="A15" s="3" t="s">
        <v>353</v>
      </c>
      <c r="B15" s="36" t="s">
        <v>322</v>
      </c>
      <c r="C15" s="41"/>
      <c r="D15" s="41"/>
      <c r="E15" s="3"/>
      <c r="F15" s="4"/>
      <c r="G15" s="5"/>
      <c r="H15" s="5"/>
      <c r="I15" s="5"/>
      <c r="J15" s="5"/>
      <c r="K15" s="5"/>
      <c r="L15" s="47"/>
      <c r="M15" s="15"/>
      <c r="N15" s="16"/>
      <c r="O15" s="17"/>
      <c r="Q15" s="18"/>
      <c r="R15" s="18"/>
      <c r="S15" s="18"/>
      <c r="T15" s="31"/>
      <c r="U15" s="24"/>
      <c r="V15" s="18"/>
      <c r="W15" s="18"/>
      <c r="X15" s="23"/>
      <c r="Y15" s="24"/>
      <c r="Z15" s="23"/>
      <c r="AA15" s="18"/>
      <c r="AB15"/>
      <c r="AC15"/>
      <c r="AD15"/>
      <c r="AE15"/>
    </row>
    <row r="16" spans="1:246" s="29" customFormat="1" ht="14.25" x14ac:dyDescent="0.15">
      <c r="A16" s="3">
        <v>1</v>
      </c>
      <c r="B16" s="4" t="s">
        <v>323</v>
      </c>
      <c r="C16" s="3">
        <v>10500</v>
      </c>
      <c r="D16" s="3" t="s">
        <v>67</v>
      </c>
      <c r="E16" s="186" t="s">
        <v>366</v>
      </c>
      <c r="F16" s="3" t="s">
        <v>280</v>
      </c>
      <c r="G16" s="22">
        <v>2</v>
      </c>
      <c r="H16" s="5">
        <v>0</v>
      </c>
      <c r="I16" s="5">
        <f>G16+H16</f>
        <v>2</v>
      </c>
      <c r="J16" s="5"/>
      <c r="K16" s="5"/>
      <c r="L16" s="182">
        <v>58.15</v>
      </c>
      <c r="M16" s="182">
        <f>L16*C16*I16/1000</f>
        <v>1221.1500000000001</v>
      </c>
      <c r="N16" s="46" t="s">
        <v>349</v>
      </c>
      <c r="O16" s="170" t="s">
        <v>358</v>
      </c>
      <c r="P16" s="22" t="s">
        <v>347</v>
      </c>
      <c r="Q16" s="22">
        <v>4</v>
      </c>
      <c r="U16" s="20"/>
      <c r="V16" s="20"/>
      <c r="W16" s="20"/>
      <c r="X16" s="20"/>
      <c r="Y16" s="20"/>
      <c r="Z16" s="20"/>
      <c r="AA16"/>
      <c r="AB16"/>
      <c r="AC16"/>
      <c r="AD16"/>
      <c r="AE1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</row>
    <row r="17" spans="1:246" s="29" customFormat="1" ht="14.25" x14ac:dyDescent="0.15">
      <c r="A17" s="3">
        <v>2</v>
      </c>
      <c r="B17" s="4" t="s">
        <v>323</v>
      </c>
      <c r="C17" s="3">
        <v>8400</v>
      </c>
      <c r="D17" s="3" t="s">
        <v>67</v>
      </c>
      <c r="E17" s="186" t="s">
        <v>366</v>
      </c>
      <c r="F17" s="3" t="s">
        <v>280</v>
      </c>
      <c r="G17" s="22">
        <v>2</v>
      </c>
      <c r="H17" s="5">
        <v>0</v>
      </c>
      <c r="I17" s="5">
        <f t="shared" ref="I17:I20" si="4">G17+H17</f>
        <v>2</v>
      </c>
      <c r="J17" s="5"/>
      <c r="K17" s="5"/>
      <c r="L17" s="182">
        <v>58.15</v>
      </c>
      <c r="M17" s="182">
        <f t="shared" ref="M17:M19" si="5">L17*C17*I17/1000</f>
        <v>976.92</v>
      </c>
      <c r="N17" s="46" t="s">
        <v>349</v>
      </c>
      <c r="O17" s="22"/>
      <c r="P17" s="22" t="s">
        <v>348</v>
      </c>
      <c r="Q17" s="22">
        <v>5</v>
      </c>
      <c r="R17" s="20"/>
      <c r="S17" s="20"/>
      <c r="U17" s="20"/>
      <c r="V17" s="20"/>
      <c r="W17" s="20"/>
      <c r="X17" s="20"/>
      <c r="Y17" s="20"/>
      <c r="Z17" s="20"/>
      <c r="AA17"/>
      <c r="AB17"/>
      <c r="AC17"/>
      <c r="AD17"/>
      <c r="AE17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</row>
    <row r="18" spans="1:246" s="29" customFormat="1" ht="27" x14ac:dyDescent="0.15">
      <c r="A18" s="3">
        <v>3</v>
      </c>
      <c r="B18" s="40" t="s">
        <v>324</v>
      </c>
      <c r="C18" s="3">
        <v>3126</v>
      </c>
      <c r="D18" s="3" t="s">
        <v>67</v>
      </c>
      <c r="E18" s="186" t="s">
        <v>366</v>
      </c>
      <c r="F18" s="3" t="s">
        <v>280</v>
      </c>
      <c r="G18" s="22">
        <f>Q17</f>
        <v>5</v>
      </c>
      <c r="H18" s="5">
        <v>0</v>
      </c>
      <c r="I18" s="5">
        <f t="shared" si="4"/>
        <v>5</v>
      </c>
      <c r="J18" s="5"/>
      <c r="K18" s="5"/>
      <c r="L18" s="182">
        <v>29.48</v>
      </c>
      <c r="M18" s="182">
        <f t="shared" si="5"/>
        <v>460.77239999999995</v>
      </c>
      <c r="N18" s="181" t="s">
        <v>342</v>
      </c>
      <c r="O18" s="51"/>
      <c r="P18" s="28"/>
      <c r="Q18" s="20"/>
      <c r="R18" s="20"/>
      <c r="S18" s="20"/>
      <c r="U18" s="25"/>
      <c r="V18" s="20"/>
      <c r="W18" s="20"/>
      <c r="X18" s="20"/>
      <c r="Y18" s="19"/>
      <c r="Z18" s="25"/>
      <c r="AA18"/>
      <c r="AB18"/>
      <c r="AC18"/>
      <c r="AD18"/>
      <c r="AE1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</row>
    <row r="19" spans="1:246" s="29" customFormat="1" ht="24" customHeight="1" x14ac:dyDescent="0.15">
      <c r="A19" s="3">
        <v>4</v>
      </c>
      <c r="B19" s="40" t="s">
        <v>325</v>
      </c>
      <c r="C19" s="3">
        <v>1000</v>
      </c>
      <c r="D19" s="3" t="s">
        <v>67</v>
      </c>
      <c r="E19" s="186" t="s">
        <v>366</v>
      </c>
      <c r="F19" s="3" t="s">
        <v>280</v>
      </c>
      <c r="G19" s="22">
        <f>G20*6+G21*3</f>
        <v>27</v>
      </c>
      <c r="H19" s="5">
        <v>0</v>
      </c>
      <c r="I19" s="5">
        <f t="shared" si="4"/>
        <v>27</v>
      </c>
      <c r="J19" s="5"/>
      <c r="K19" s="5"/>
      <c r="L19" s="182">
        <v>10</v>
      </c>
      <c r="M19" s="182">
        <f t="shared" si="5"/>
        <v>270</v>
      </c>
      <c r="N19" s="46" t="s">
        <v>349</v>
      </c>
      <c r="O19" s="51"/>
      <c r="P19" s="28"/>
      <c r="Q19" s="20"/>
      <c r="R19" s="20"/>
      <c r="S19" s="20"/>
      <c r="U19" s="25"/>
      <c r="V19" s="20"/>
      <c r="W19" s="20"/>
      <c r="X19" s="20"/>
      <c r="Y19" s="19"/>
      <c r="Z19" s="25"/>
      <c r="AA19"/>
      <c r="AB19"/>
      <c r="AC19"/>
      <c r="AD19"/>
      <c r="AE1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</row>
    <row r="20" spans="1:246" s="29" customFormat="1" ht="15.75" x14ac:dyDescent="0.15">
      <c r="A20" s="3">
        <v>5</v>
      </c>
      <c r="B20" s="40" t="s">
        <v>326</v>
      </c>
      <c r="C20" s="3">
        <v>2450</v>
      </c>
      <c r="D20" s="3" t="s">
        <v>67</v>
      </c>
      <c r="E20" s="186" t="s">
        <v>366</v>
      </c>
      <c r="F20" s="3" t="s">
        <v>344</v>
      </c>
      <c r="G20" s="22">
        <f>Q17-G21</f>
        <v>4</v>
      </c>
      <c r="H20" s="5">
        <v>0</v>
      </c>
      <c r="I20" s="5">
        <f t="shared" si="4"/>
        <v>4</v>
      </c>
      <c r="J20" s="5"/>
      <c r="K20" s="5"/>
      <c r="L20" s="182">
        <v>115.4</v>
      </c>
      <c r="M20" s="182">
        <f>L20*I20</f>
        <v>461.6</v>
      </c>
      <c r="N20" s="46" t="s">
        <v>349</v>
      </c>
      <c r="O20" s="51"/>
      <c r="P20" s="45"/>
      <c r="Q20" s="20"/>
      <c r="R20" s="20"/>
      <c r="S20" s="20"/>
      <c r="U20" s="25"/>
      <c r="V20" s="20"/>
      <c r="W20" s="20"/>
      <c r="X20" s="20"/>
      <c r="Y20" s="19"/>
      <c r="Z20" s="25"/>
      <c r="AA20"/>
      <c r="AB20"/>
      <c r="AC20"/>
      <c r="AD20"/>
      <c r="AE20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</row>
    <row r="21" spans="1:246" s="28" customFormat="1" ht="15" x14ac:dyDescent="0.15">
      <c r="A21" s="3">
        <v>6</v>
      </c>
      <c r="B21" s="4" t="s">
        <v>327</v>
      </c>
      <c r="C21" s="3">
        <v>1225</v>
      </c>
      <c r="D21" s="3" t="s">
        <v>67</v>
      </c>
      <c r="E21" s="186" t="s">
        <v>366</v>
      </c>
      <c r="F21" s="3" t="s">
        <v>344</v>
      </c>
      <c r="G21" s="22">
        <f>1</f>
        <v>1</v>
      </c>
      <c r="H21" s="5">
        <v>0</v>
      </c>
      <c r="I21" s="5">
        <f>G21+H21</f>
        <v>1</v>
      </c>
      <c r="J21" s="5"/>
      <c r="K21" s="5"/>
      <c r="L21" s="182">
        <v>57.7</v>
      </c>
      <c r="M21" s="182">
        <f>L21*I21</f>
        <v>57.7</v>
      </c>
      <c r="N21" s="46" t="s">
        <v>349</v>
      </c>
      <c r="O21" s="49"/>
      <c r="Q21" s="18"/>
      <c r="R21" s="18">
        <v>29195</v>
      </c>
      <c r="S21" s="18">
        <v>57452</v>
      </c>
      <c r="T21" s="31">
        <v>76794</v>
      </c>
      <c r="U21" s="24"/>
      <c r="V21" s="18"/>
      <c r="W21" s="18"/>
      <c r="X21" s="23"/>
      <c r="Y21" s="24"/>
      <c r="Z21" s="23"/>
      <c r="AA21" s="18"/>
      <c r="AB21"/>
      <c r="AC21"/>
      <c r="AD21"/>
      <c r="AE21"/>
    </row>
    <row r="22" spans="1:246" s="29" customFormat="1" ht="15.75" x14ac:dyDescent="0.15">
      <c r="A22" s="3">
        <v>7</v>
      </c>
      <c r="B22" s="4" t="s">
        <v>328</v>
      </c>
      <c r="C22" s="3">
        <v>6400</v>
      </c>
      <c r="D22" s="3" t="s">
        <v>67</v>
      </c>
      <c r="E22" s="186" t="s">
        <v>366</v>
      </c>
      <c r="F22" s="3" t="s">
        <v>280</v>
      </c>
      <c r="G22" s="22">
        <f>2*Q16</f>
        <v>8</v>
      </c>
      <c r="H22" s="5">
        <v>0</v>
      </c>
      <c r="I22" s="5">
        <f t="shared" ref="I22:I25" si="6">G22+H22</f>
        <v>8</v>
      </c>
      <c r="J22" s="5"/>
      <c r="K22" s="5"/>
      <c r="L22" s="182">
        <v>22.64</v>
      </c>
      <c r="M22" s="182">
        <f t="shared" ref="M22:M24" si="7">L22*C22*I22/1000</f>
        <v>1159.1679999999999</v>
      </c>
      <c r="N22" s="46" t="s">
        <v>349</v>
      </c>
      <c r="O22" s="82"/>
      <c r="P22" s="28"/>
      <c r="Q22" s="20"/>
      <c r="R22" s="20"/>
      <c r="S22" s="20"/>
      <c r="U22" s="25"/>
      <c r="V22" s="20"/>
      <c r="W22" s="20"/>
      <c r="X22" s="20"/>
      <c r="Y22" s="19"/>
      <c r="Z22" s="25"/>
      <c r="AA22"/>
      <c r="AB22"/>
      <c r="AC22"/>
      <c r="AD22"/>
      <c r="AE22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</row>
    <row r="23" spans="1:246" s="29" customFormat="1" ht="15.75" x14ac:dyDescent="0.15">
      <c r="A23" s="3">
        <v>8</v>
      </c>
      <c r="B23" s="40" t="s">
        <v>329</v>
      </c>
      <c r="C23" s="3">
        <v>1000</v>
      </c>
      <c r="D23" s="3" t="s">
        <v>67</v>
      </c>
      <c r="E23" s="186" t="s">
        <v>366</v>
      </c>
      <c r="F23" s="3" t="s">
        <v>344</v>
      </c>
      <c r="G23" s="22">
        <f>13*Q16</f>
        <v>52</v>
      </c>
      <c r="H23" s="5">
        <v>0</v>
      </c>
      <c r="I23" s="5">
        <f t="shared" si="6"/>
        <v>52</v>
      </c>
      <c r="J23" s="5"/>
      <c r="K23" s="5"/>
      <c r="L23" s="182">
        <v>14.04</v>
      </c>
      <c r="M23" s="182">
        <f>L23*I23</f>
        <v>730.07999999999993</v>
      </c>
      <c r="N23" s="46" t="s">
        <v>349</v>
      </c>
      <c r="O23" s="61"/>
      <c r="P23" s="28"/>
      <c r="Q23" s="20"/>
      <c r="R23" s="20"/>
      <c r="S23" s="20"/>
      <c r="U23" s="25"/>
      <c r="V23" s="20"/>
      <c r="W23" s="20"/>
      <c r="X23" s="20"/>
      <c r="Y23" s="19"/>
      <c r="Z23" s="25"/>
      <c r="AA23"/>
      <c r="AB23"/>
      <c r="AC23"/>
      <c r="AD23"/>
      <c r="AE23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</row>
    <row r="24" spans="1:246" s="29" customFormat="1" ht="15.75" x14ac:dyDescent="0.15">
      <c r="A24" s="3">
        <v>9</v>
      </c>
      <c r="B24" s="40" t="s">
        <v>330</v>
      </c>
      <c r="C24" s="3">
        <v>5500</v>
      </c>
      <c r="D24" s="3" t="s">
        <v>67</v>
      </c>
      <c r="E24" s="186" t="s">
        <v>366</v>
      </c>
      <c r="F24" s="3" t="s">
        <v>280</v>
      </c>
      <c r="G24" s="22">
        <f>2</f>
        <v>2</v>
      </c>
      <c r="H24" s="5">
        <v>0</v>
      </c>
      <c r="I24" s="5">
        <f t="shared" si="6"/>
        <v>2</v>
      </c>
      <c r="J24" s="5"/>
      <c r="K24" s="5"/>
      <c r="L24" s="182">
        <v>22.64</v>
      </c>
      <c r="M24" s="182">
        <f t="shared" si="7"/>
        <v>249.04</v>
      </c>
      <c r="N24" s="46" t="s">
        <v>349</v>
      </c>
      <c r="O24" s="50"/>
      <c r="P24" s="28"/>
      <c r="Q24" s="20"/>
      <c r="R24" s="20"/>
      <c r="S24" s="20"/>
      <c r="T24" s="25"/>
      <c r="U24" s="25"/>
      <c r="V24" s="20"/>
      <c r="W24" s="20"/>
      <c r="X24" s="20"/>
      <c r="Y24" s="19"/>
      <c r="Z24" s="25"/>
      <c r="AA24"/>
      <c r="AB24"/>
      <c r="AC24"/>
      <c r="AD24"/>
      <c r="AE24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</row>
    <row r="25" spans="1:246" s="29" customFormat="1" ht="15.75" x14ac:dyDescent="0.15">
      <c r="A25" s="3">
        <v>10</v>
      </c>
      <c r="B25" s="40" t="s">
        <v>331</v>
      </c>
      <c r="C25" s="3">
        <v>1000</v>
      </c>
      <c r="D25" s="3" t="s">
        <v>67</v>
      </c>
      <c r="E25" s="186" t="s">
        <v>366</v>
      </c>
      <c r="F25" s="3" t="s">
        <v>344</v>
      </c>
      <c r="G25" s="22">
        <f>13</f>
        <v>13</v>
      </c>
      <c r="H25" s="5">
        <v>0</v>
      </c>
      <c r="I25" s="5">
        <f t="shared" si="6"/>
        <v>13</v>
      </c>
      <c r="J25" s="5"/>
      <c r="K25" s="5"/>
      <c r="L25" s="182">
        <v>14.04</v>
      </c>
      <c r="M25" s="182">
        <f>L25*I25</f>
        <v>182.51999999999998</v>
      </c>
      <c r="N25" s="46" t="s">
        <v>349</v>
      </c>
      <c r="O25" s="50"/>
      <c r="P25" s="31"/>
      <c r="Q25" s="20"/>
      <c r="R25" s="20"/>
      <c r="S25" s="20"/>
      <c r="T25" s="25"/>
      <c r="U25" s="25"/>
      <c r="V25" s="20"/>
      <c r="W25" s="20"/>
      <c r="X25" s="20"/>
      <c r="Y25" s="19"/>
      <c r="Z25" s="25"/>
      <c r="AA25"/>
      <c r="AB25"/>
      <c r="AC25"/>
      <c r="AD25"/>
      <c r="AE25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</row>
    <row r="26" spans="1:246" s="29" customFormat="1" ht="14.25" x14ac:dyDescent="0.15">
      <c r="A26" s="3">
        <v>11</v>
      </c>
      <c r="B26" s="4" t="s">
        <v>334</v>
      </c>
      <c r="C26" s="3">
        <v>600</v>
      </c>
      <c r="D26" s="3" t="s">
        <v>235</v>
      </c>
      <c r="E26" s="186" t="s">
        <v>366</v>
      </c>
      <c r="F26" s="3" t="s">
        <v>345</v>
      </c>
      <c r="G26" s="22">
        <f>G16+G17</f>
        <v>4</v>
      </c>
      <c r="H26" s="5">
        <v>0</v>
      </c>
      <c r="I26" s="5">
        <f>G26+H26</f>
        <v>4</v>
      </c>
      <c r="J26" s="5"/>
      <c r="K26" s="5"/>
      <c r="L26" s="182">
        <v>37.68</v>
      </c>
      <c r="M26" s="182">
        <f t="shared" ref="M26:M37" si="8">L26*I26</f>
        <v>150.72</v>
      </c>
      <c r="N26" s="46" t="s">
        <v>349</v>
      </c>
      <c r="O26" s="23"/>
      <c r="P26" s="3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</row>
    <row r="27" spans="1:246" s="29" customFormat="1" ht="14.25" x14ac:dyDescent="0.15">
      <c r="A27" s="3">
        <v>12</v>
      </c>
      <c r="B27" s="4" t="s">
        <v>333</v>
      </c>
      <c r="C27" s="3">
        <v>70</v>
      </c>
      <c r="D27" s="3" t="s">
        <v>235</v>
      </c>
      <c r="E27" s="186" t="s">
        <v>366</v>
      </c>
      <c r="F27" s="3" t="s">
        <v>345</v>
      </c>
      <c r="G27" s="22">
        <f>G26*6</f>
        <v>24</v>
      </c>
      <c r="H27" s="5">
        <v>0</v>
      </c>
      <c r="I27" s="5">
        <f t="shared" ref="I27:I31" si="9">G27+H27</f>
        <v>24</v>
      </c>
      <c r="J27" s="5"/>
      <c r="K27" s="5"/>
      <c r="L27" s="182">
        <v>0.154</v>
      </c>
      <c r="M27" s="182">
        <f t="shared" si="8"/>
        <v>3.6959999999999997</v>
      </c>
      <c r="N27" s="9"/>
      <c r="O27" s="23"/>
      <c r="P27" s="3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</row>
    <row r="28" spans="1:246" s="29" customFormat="1" ht="14.25" x14ac:dyDescent="0.15">
      <c r="A28" s="3">
        <v>13</v>
      </c>
      <c r="B28" s="40" t="s">
        <v>332</v>
      </c>
      <c r="C28" s="3">
        <v>250</v>
      </c>
      <c r="D28" s="3" t="s">
        <v>235</v>
      </c>
      <c r="E28" s="186" t="s">
        <v>366</v>
      </c>
      <c r="F28" s="3" t="s">
        <v>345</v>
      </c>
      <c r="G28" s="22">
        <f>G26*4</f>
        <v>16</v>
      </c>
      <c r="H28" s="5">
        <v>0</v>
      </c>
      <c r="I28" s="5">
        <f t="shared" si="9"/>
        <v>16</v>
      </c>
      <c r="J28" s="5"/>
      <c r="K28" s="5"/>
      <c r="L28" s="182">
        <v>2.355</v>
      </c>
      <c r="M28" s="182">
        <f t="shared" si="8"/>
        <v>37.68</v>
      </c>
      <c r="N28" s="16"/>
      <c r="O28" s="23"/>
      <c r="P28" s="3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</row>
    <row r="29" spans="1:246" ht="27" x14ac:dyDescent="0.15">
      <c r="A29" s="3">
        <v>14</v>
      </c>
      <c r="B29" s="40" t="s">
        <v>335</v>
      </c>
      <c r="C29" s="3"/>
      <c r="D29" s="3" t="s">
        <v>235</v>
      </c>
      <c r="E29" s="186" t="s">
        <v>366</v>
      </c>
      <c r="F29" s="3" t="s">
        <v>346</v>
      </c>
      <c r="G29" s="22">
        <f>G27</f>
        <v>24</v>
      </c>
      <c r="H29" s="5">
        <v>0</v>
      </c>
      <c r="I29" s="5">
        <f t="shared" si="9"/>
        <v>24</v>
      </c>
      <c r="J29" s="5"/>
      <c r="K29" s="5"/>
      <c r="L29" s="182">
        <f>2.79+0.089*2+0.031+0.01</f>
        <v>3.0089999999999999</v>
      </c>
      <c r="M29" s="182">
        <f t="shared" si="8"/>
        <v>72.215999999999994</v>
      </c>
      <c r="N29" s="181" t="s">
        <v>343</v>
      </c>
    </row>
    <row r="30" spans="1:246" ht="14.25" x14ac:dyDescent="0.15">
      <c r="A30" s="3">
        <v>15</v>
      </c>
      <c r="B30" s="40" t="s">
        <v>336</v>
      </c>
      <c r="C30" s="3">
        <v>280</v>
      </c>
      <c r="D30" s="3" t="s">
        <v>235</v>
      </c>
      <c r="E30" s="186" t="s">
        <v>366</v>
      </c>
      <c r="F30" s="3" t="s">
        <v>345</v>
      </c>
      <c r="G30" s="22">
        <v>2</v>
      </c>
      <c r="H30" s="5">
        <v>0</v>
      </c>
      <c r="I30" s="5">
        <f t="shared" si="9"/>
        <v>2</v>
      </c>
      <c r="J30" s="5"/>
      <c r="K30" s="5"/>
      <c r="L30" s="182">
        <v>7.0339999999999998</v>
      </c>
      <c r="M30" s="182">
        <f t="shared" si="8"/>
        <v>14.068</v>
      </c>
      <c r="N30" s="37"/>
      <c r="R30" s="31" t="s">
        <v>65</v>
      </c>
      <c r="S30" s="83" t="e">
        <f>O22+#REF!+#REF!</f>
        <v>#REF!</v>
      </c>
    </row>
    <row r="31" spans="1:246" ht="15.75" x14ac:dyDescent="0.15">
      <c r="A31" s="3">
        <v>16</v>
      </c>
      <c r="B31" s="40" t="s">
        <v>337</v>
      </c>
      <c r="C31" s="3">
        <v>400</v>
      </c>
      <c r="D31" s="3" t="s">
        <v>235</v>
      </c>
      <c r="E31" s="186" t="s">
        <v>366</v>
      </c>
      <c r="F31" s="3" t="s">
        <v>345</v>
      </c>
      <c r="G31" s="22">
        <f>G30*6</f>
        <v>12</v>
      </c>
      <c r="H31" s="5">
        <v>0</v>
      </c>
      <c r="I31" s="5">
        <f t="shared" si="9"/>
        <v>12</v>
      </c>
      <c r="J31" s="5"/>
      <c r="K31" s="5"/>
      <c r="L31" s="182">
        <v>0.158</v>
      </c>
      <c r="M31" s="182">
        <f t="shared" si="8"/>
        <v>1.8959999999999999</v>
      </c>
      <c r="N31" s="37"/>
    </row>
    <row r="32" spans="1:246" ht="15" x14ac:dyDescent="0.15">
      <c r="A32" s="3">
        <v>17</v>
      </c>
      <c r="B32" s="4" t="s">
        <v>338</v>
      </c>
      <c r="C32" s="3">
        <v>1050</v>
      </c>
      <c r="D32" s="3" t="s">
        <v>67</v>
      </c>
      <c r="E32" s="186" t="s">
        <v>366</v>
      </c>
      <c r="F32" s="3" t="s">
        <v>280</v>
      </c>
      <c r="G32" s="22">
        <f>G20*4+G21*2+G22*4+G24*3</f>
        <v>56</v>
      </c>
      <c r="H32" s="5">
        <v>0</v>
      </c>
      <c r="I32" s="5">
        <f>G32+H32</f>
        <v>56</v>
      </c>
      <c r="J32" s="5"/>
      <c r="K32" s="5"/>
      <c r="L32" s="182">
        <v>3.6509999999999998</v>
      </c>
      <c r="M32" s="182">
        <f t="shared" si="8"/>
        <v>204.45599999999999</v>
      </c>
      <c r="N32" s="46" t="s">
        <v>349</v>
      </c>
    </row>
    <row r="33" spans="1:15" ht="15" x14ac:dyDescent="0.15">
      <c r="A33" s="3">
        <v>18</v>
      </c>
      <c r="B33" s="4" t="s">
        <v>339</v>
      </c>
      <c r="C33" s="3">
        <v>1000</v>
      </c>
      <c r="D33" s="3" t="s">
        <v>67</v>
      </c>
      <c r="E33" s="186" t="s">
        <v>366</v>
      </c>
      <c r="F33" s="3" t="s">
        <v>280</v>
      </c>
      <c r="G33" s="22">
        <f>G32*2</f>
        <v>112</v>
      </c>
      <c r="H33" s="5">
        <v>0</v>
      </c>
      <c r="I33" s="5">
        <f t="shared" ref="I33:I35" si="10">G33+H33</f>
        <v>112</v>
      </c>
      <c r="J33" s="5"/>
      <c r="K33" s="5"/>
      <c r="L33" s="182">
        <v>1.998</v>
      </c>
      <c r="M33" s="182">
        <f t="shared" si="8"/>
        <v>223.77600000000001</v>
      </c>
      <c r="N33" s="46" t="s">
        <v>349</v>
      </c>
    </row>
    <row r="34" spans="1:15" ht="15.75" x14ac:dyDescent="0.15">
      <c r="A34" s="3">
        <v>19</v>
      </c>
      <c r="B34" s="40" t="s">
        <v>340</v>
      </c>
      <c r="C34" s="3">
        <v>1050</v>
      </c>
      <c r="D34" s="3" t="s">
        <v>67</v>
      </c>
      <c r="E34" s="186" t="s">
        <v>366</v>
      </c>
      <c r="F34" s="3" t="s">
        <v>280</v>
      </c>
      <c r="G34" s="22">
        <f>G32+2</f>
        <v>58</v>
      </c>
      <c r="H34" s="5">
        <v>0</v>
      </c>
      <c r="I34" s="5">
        <f t="shared" si="10"/>
        <v>58</v>
      </c>
      <c r="J34" s="5"/>
      <c r="K34" s="5"/>
      <c r="L34" s="182">
        <v>3.129</v>
      </c>
      <c r="M34" s="182">
        <f t="shared" si="8"/>
        <v>181.482</v>
      </c>
      <c r="N34" s="46" t="s">
        <v>349</v>
      </c>
    </row>
    <row r="35" spans="1:15" ht="14.25" x14ac:dyDescent="0.15">
      <c r="A35" s="3">
        <v>20</v>
      </c>
      <c r="B35" s="40" t="s">
        <v>341</v>
      </c>
      <c r="C35" s="3">
        <v>1000</v>
      </c>
      <c r="D35" s="3" t="s">
        <v>67</v>
      </c>
      <c r="E35" s="186" t="s">
        <v>366</v>
      </c>
      <c r="F35" s="3" t="s">
        <v>280</v>
      </c>
      <c r="G35" s="22">
        <f>G32</f>
        <v>56</v>
      </c>
      <c r="H35" s="5">
        <v>0</v>
      </c>
      <c r="I35" s="5">
        <f t="shared" si="10"/>
        <v>56</v>
      </c>
      <c r="J35" s="5"/>
      <c r="K35" s="5"/>
      <c r="L35" s="182">
        <v>2.355</v>
      </c>
      <c r="M35" s="182">
        <f t="shared" si="8"/>
        <v>131.88</v>
      </c>
      <c r="N35" s="46" t="s">
        <v>349</v>
      </c>
    </row>
    <row r="36" spans="1:15" ht="15" x14ac:dyDescent="0.15">
      <c r="A36" s="3">
        <v>21</v>
      </c>
      <c r="B36" s="93" t="s">
        <v>304</v>
      </c>
      <c r="C36" s="184"/>
      <c r="D36" s="38"/>
      <c r="E36" s="9" t="s">
        <v>303</v>
      </c>
      <c r="F36" s="52" t="s">
        <v>308</v>
      </c>
      <c r="G36" s="105">
        <f>(4.2*1.2*0.5+0.7*0.5*0.6*2)*2+(0.5*0.4*1.6)</f>
        <v>6.2</v>
      </c>
      <c r="H36" s="95">
        <f>G36*0.003</f>
        <v>1.8600000000000002E-2</v>
      </c>
      <c r="I36" s="95">
        <f t="shared" ref="I36:I40" si="11">H36+G36</f>
        <v>6.2186000000000003</v>
      </c>
      <c r="J36" s="41"/>
      <c r="K36" s="16"/>
      <c r="L36" s="106">
        <v>0</v>
      </c>
      <c r="M36" s="182">
        <f t="shared" si="8"/>
        <v>0</v>
      </c>
      <c r="N36" s="112"/>
      <c r="O36" s="83"/>
    </row>
    <row r="37" spans="1:15" ht="15" x14ac:dyDescent="0.15">
      <c r="A37" s="3">
        <v>22</v>
      </c>
      <c r="B37" s="93" t="s">
        <v>305</v>
      </c>
      <c r="C37" s="184"/>
      <c r="D37" s="38"/>
      <c r="E37" s="9" t="s">
        <v>309</v>
      </c>
      <c r="F37" s="52" t="s">
        <v>308</v>
      </c>
      <c r="G37" s="105">
        <f>(4.4*1.4*0.1+0.7*0.5*0.1)*4+(0.7*1.8*0.1)</f>
        <v>2.7300000000000004</v>
      </c>
      <c r="H37" s="95">
        <f>G37*0.003</f>
        <v>8.1900000000000011E-3</v>
      </c>
      <c r="I37" s="95">
        <f t="shared" si="11"/>
        <v>2.7381900000000003</v>
      </c>
      <c r="J37" s="41"/>
      <c r="K37" s="16"/>
      <c r="L37" s="106">
        <v>0</v>
      </c>
      <c r="M37" s="182">
        <f t="shared" si="8"/>
        <v>0</v>
      </c>
      <c r="N37" s="112"/>
    </row>
    <row r="38" spans="1:15" ht="15" x14ac:dyDescent="0.15">
      <c r="A38" s="3">
        <v>23</v>
      </c>
      <c r="B38" s="93" t="s">
        <v>300</v>
      </c>
      <c r="C38" s="184"/>
      <c r="D38" s="38"/>
      <c r="E38" s="9" t="s">
        <v>306</v>
      </c>
      <c r="F38" s="52" t="s">
        <v>307</v>
      </c>
      <c r="G38" s="105">
        <f>(0.7*4+0.5*5)*4*11</f>
        <v>233.2</v>
      </c>
      <c r="H38" s="95">
        <v>2</v>
      </c>
      <c r="I38" s="95">
        <f t="shared" si="11"/>
        <v>235.2</v>
      </c>
      <c r="J38" s="41"/>
      <c r="K38" s="16"/>
      <c r="L38" s="106">
        <v>0.39500000000000002</v>
      </c>
      <c r="M38" s="97">
        <f>I38*L38</f>
        <v>92.903999999999996</v>
      </c>
      <c r="N38" s="112"/>
    </row>
    <row r="39" spans="1:15" ht="15" x14ac:dyDescent="0.15">
      <c r="A39" s="3">
        <v>24</v>
      </c>
      <c r="B39" s="93" t="s">
        <v>301</v>
      </c>
      <c r="C39" s="184"/>
      <c r="D39" s="38"/>
      <c r="E39" s="9" t="s">
        <v>306</v>
      </c>
      <c r="F39" s="52" t="s">
        <v>307</v>
      </c>
      <c r="G39" s="105">
        <f>(4.2*9+1.2*29+5.2*9+2.2*29)*2+(4*1.6+11*0.5)</f>
        <v>378.3</v>
      </c>
      <c r="H39" s="95">
        <v>2</v>
      </c>
      <c r="I39" s="95">
        <f t="shared" si="11"/>
        <v>380.3</v>
      </c>
      <c r="J39" s="41"/>
      <c r="K39" s="16"/>
      <c r="L39" s="106">
        <v>0.88800000000000001</v>
      </c>
      <c r="M39" s="97">
        <f>5600*I39*L39/1000</f>
        <v>1891.1558400000001</v>
      </c>
      <c r="N39" s="112"/>
    </row>
    <row r="40" spans="1:15" ht="15" x14ac:dyDescent="0.15">
      <c r="A40" s="3">
        <v>25</v>
      </c>
      <c r="B40" s="93" t="s">
        <v>351</v>
      </c>
      <c r="C40" s="184"/>
      <c r="D40" s="38"/>
      <c r="E40" s="9" t="s">
        <v>306</v>
      </c>
      <c r="F40" s="52" t="s">
        <v>307</v>
      </c>
      <c r="G40" s="105">
        <f>(1.1+0.15)*4*14</f>
        <v>70</v>
      </c>
      <c r="H40" s="95">
        <v>0</v>
      </c>
      <c r="I40" s="95">
        <f t="shared" si="11"/>
        <v>70</v>
      </c>
      <c r="J40" s="41"/>
      <c r="K40" s="16"/>
      <c r="L40" s="106">
        <v>2.4660000000000002</v>
      </c>
      <c r="M40" s="97">
        <f>5600*I40*L40/1000</f>
        <v>966.67200000000014</v>
      </c>
      <c r="N40" s="112"/>
    </row>
    <row r="41" spans="1:15" ht="14.25" x14ac:dyDescent="0.15">
      <c r="A41" s="3"/>
      <c r="B41" s="4" t="s">
        <v>23</v>
      </c>
      <c r="C41" s="41"/>
      <c r="D41" s="41"/>
      <c r="E41" s="3"/>
      <c r="F41" s="4"/>
      <c r="G41" s="5"/>
      <c r="H41" s="5"/>
      <c r="I41" s="5"/>
      <c r="J41" s="5"/>
      <c r="K41" s="5"/>
      <c r="L41" s="47"/>
      <c r="M41" s="48">
        <f>SUM(M16:M40)</f>
        <v>9741.5522400000009</v>
      </c>
      <c r="N41" s="16"/>
    </row>
    <row r="42" spans="1:15" x14ac:dyDescent="0.15">
      <c r="A42" s="8" t="s">
        <v>27</v>
      </c>
      <c r="B42" s="210" t="s">
        <v>28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2"/>
    </row>
    <row r="43" spans="1:15" x14ac:dyDescent="0.15">
      <c r="A43" s="8"/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5"/>
    </row>
    <row r="44" spans="1:15" ht="29.25" customHeight="1" x14ac:dyDescent="0.15">
      <c r="A44" s="53"/>
      <c r="B44" s="216" t="s">
        <v>365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7"/>
      <c r="N44" s="216"/>
    </row>
    <row r="45" spans="1:15" x14ac:dyDescent="0.15">
      <c r="A45" s="9"/>
      <c r="B45" s="218" t="s">
        <v>29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20"/>
    </row>
    <row r="46" spans="1:15" x14ac:dyDescent="0.15">
      <c r="A46" s="9"/>
      <c r="B46" s="218" t="s">
        <v>68</v>
      </c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20"/>
    </row>
    <row r="47" spans="1:15" x14ac:dyDescent="0.15">
      <c r="A47" s="9"/>
      <c r="B47" s="221" t="s">
        <v>350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3"/>
      <c r="N47" s="224"/>
    </row>
    <row r="48" spans="1:15" x14ac:dyDescent="0.15">
      <c r="A48" s="206" t="s">
        <v>30</v>
      </c>
      <c r="B48" s="201"/>
      <c r="C48" s="203" t="s">
        <v>31</v>
      </c>
      <c r="D48" s="208"/>
      <c r="E48" s="208"/>
      <c r="F48" s="208"/>
      <c r="G48" s="201"/>
      <c r="H48" s="210" t="s">
        <v>32</v>
      </c>
      <c r="I48" s="211"/>
      <c r="J48" s="211"/>
      <c r="K48" s="211"/>
      <c r="L48" s="211"/>
      <c r="M48" s="211"/>
      <c r="N48" s="212"/>
    </row>
    <row r="49" spans="1:20" x14ac:dyDescent="0.15">
      <c r="A49" s="207"/>
      <c r="B49" s="202"/>
      <c r="C49" s="204"/>
      <c r="D49" s="209"/>
      <c r="E49" s="209"/>
      <c r="F49" s="209"/>
      <c r="G49" s="202"/>
      <c r="H49" s="213"/>
      <c r="I49" s="214"/>
      <c r="J49" s="214"/>
      <c r="K49" s="214"/>
      <c r="L49" s="214"/>
      <c r="M49" s="214"/>
      <c r="N49" s="215"/>
    </row>
    <row r="50" spans="1:20" x14ac:dyDescent="0.15">
      <c r="A50" s="183" t="s">
        <v>33</v>
      </c>
      <c r="B50" s="54"/>
      <c r="C50" s="10" t="s">
        <v>34</v>
      </c>
      <c r="D50" s="187"/>
      <c r="E50" s="187"/>
      <c r="F50" s="187"/>
      <c r="G50" s="188"/>
      <c r="H50" s="189"/>
      <c r="I50" s="187"/>
      <c r="J50" s="187"/>
      <c r="K50" s="187"/>
      <c r="L50" s="187"/>
      <c r="M50" s="187"/>
      <c r="N50" s="188"/>
      <c r="T50" s="31" t="e">
        <f>#REF!+#REF!</f>
        <v>#REF!</v>
      </c>
    </row>
    <row r="51" spans="1:20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20" x14ac:dyDescent="0.15">
      <c r="A52" s="23"/>
      <c r="B52" s="55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8" spans="1:20" ht="14.25" x14ac:dyDescent="0.15">
      <c r="S58" s="67"/>
      <c r="T58" s="67"/>
    </row>
    <row r="59" spans="1:20" ht="15" hidden="1" customHeight="1" x14ac:dyDescent="0.15"/>
    <row r="60" spans="1:20" hidden="1" x14ac:dyDescent="0.15"/>
    <row r="61" spans="1:20" hidden="1" x14ac:dyDescent="0.15">
      <c r="O61" s="62" t="s">
        <v>35</v>
      </c>
      <c r="P61" s="62" t="s">
        <v>36</v>
      </c>
      <c r="Q61" s="27"/>
      <c r="R61" s="70" t="s">
        <v>37</v>
      </c>
    </row>
    <row r="62" spans="1:20" ht="40.5" hidden="1" x14ac:dyDescent="0.15">
      <c r="O62" s="6" t="s">
        <v>38</v>
      </c>
      <c r="P62" s="6" t="s">
        <v>39</v>
      </c>
      <c r="Q62" s="26" t="s">
        <v>40</v>
      </c>
      <c r="R62" s="7" t="s">
        <v>41</v>
      </c>
    </row>
    <row r="63" spans="1:20" hidden="1" x14ac:dyDescent="0.15">
      <c r="O63" s="22">
        <f t="shared" ref="O63:O75" si="12">E68+F68</f>
        <v>60</v>
      </c>
      <c r="P63" s="22">
        <f t="shared" ref="P63:P69" si="13">M68*2</f>
        <v>240</v>
      </c>
      <c r="Q63" s="22">
        <f t="shared" ref="Q63:Q75" si="14">M68</f>
        <v>120</v>
      </c>
      <c r="R63" s="71">
        <f t="shared" ref="R63:R75" si="15">L68*2</f>
        <v>0</v>
      </c>
    </row>
    <row r="64" spans="1:20" hidden="1" x14ac:dyDescent="0.15">
      <c r="B64" s="55" t="s">
        <v>42</v>
      </c>
      <c r="O64" s="22">
        <f t="shared" si="12"/>
        <v>444</v>
      </c>
      <c r="P64" s="22">
        <f t="shared" si="13"/>
        <v>3552</v>
      </c>
      <c r="Q64" s="22">
        <f t="shared" si="14"/>
        <v>1776</v>
      </c>
      <c r="R64" s="71">
        <f t="shared" si="15"/>
        <v>0</v>
      </c>
    </row>
    <row r="65" spans="2:18" hidden="1" x14ac:dyDescent="0.15">
      <c r="O65" s="22">
        <f t="shared" si="12"/>
        <v>462</v>
      </c>
      <c r="P65" s="22">
        <f t="shared" si="13"/>
        <v>4620</v>
      </c>
      <c r="Q65" s="22">
        <f t="shared" si="14"/>
        <v>2310</v>
      </c>
      <c r="R65" s="71">
        <f t="shared" si="15"/>
        <v>0</v>
      </c>
    </row>
    <row r="66" spans="2:18" ht="27" hidden="1" x14ac:dyDescent="0.15">
      <c r="B66" s="27"/>
      <c r="C66" s="72" t="s">
        <v>43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63" t="s">
        <v>44</v>
      </c>
      <c r="O66" s="22">
        <f t="shared" si="12"/>
        <v>0</v>
      </c>
      <c r="P66" s="22">
        <f t="shared" si="13"/>
        <v>0</v>
      </c>
      <c r="Q66" s="22">
        <f t="shared" si="14"/>
        <v>0</v>
      </c>
      <c r="R66" s="71">
        <f t="shared" si="15"/>
        <v>0</v>
      </c>
    </row>
    <row r="67" spans="2:18" ht="15" hidden="1" x14ac:dyDescent="0.15">
      <c r="B67" s="9" t="s">
        <v>45</v>
      </c>
      <c r="C67" s="56" t="s">
        <v>46</v>
      </c>
      <c r="D67" s="56" t="s">
        <v>47</v>
      </c>
      <c r="E67" s="52" t="s">
        <v>48</v>
      </c>
      <c r="F67" s="52" t="s">
        <v>49</v>
      </c>
      <c r="G67" s="56" t="s">
        <v>50</v>
      </c>
      <c r="H67" s="56" t="s">
        <v>51</v>
      </c>
      <c r="I67" s="10" t="s">
        <v>52</v>
      </c>
      <c r="J67" s="10"/>
      <c r="K67" s="10"/>
      <c r="L67" s="9" t="s">
        <v>19</v>
      </c>
      <c r="M67" s="10" t="s">
        <v>53</v>
      </c>
      <c r="N67" s="64" t="s">
        <v>54</v>
      </c>
      <c r="O67" s="22">
        <f t="shared" si="12"/>
        <v>0</v>
      </c>
      <c r="P67" s="22">
        <f t="shared" si="13"/>
        <v>0</v>
      </c>
      <c r="Q67" s="22">
        <f t="shared" si="14"/>
        <v>0</v>
      </c>
      <c r="R67" s="71">
        <f t="shared" si="15"/>
        <v>0</v>
      </c>
    </row>
    <row r="68" spans="2:18" ht="15" hidden="1" x14ac:dyDescent="0.15">
      <c r="B68" s="56"/>
      <c r="C68" s="56">
        <v>30</v>
      </c>
      <c r="D68" s="56">
        <f>B68*C68</f>
        <v>0</v>
      </c>
      <c r="E68" s="52">
        <f>(B68-1)*2*C68</f>
        <v>-60</v>
      </c>
      <c r="F68" s="52">
        <f t="shared" ref="F68:F80" si="16">4*C68</f>
        <v>120</v>
      </c>
      <c r="G68" s="56">
        <f t="shared" ref="G68:G80" si="17">C68*2</f>
        <v>60</v>
      </c>
      <c r="H68" s="56">
        <v>1300</v>
      </c>
      <c r="I68" s="10">
        <v>1300</v>
      </c>
      <c r="J68" s="10"/>
      <c r="K68" s="10"/>
      <c r="L68" s="52">
        <f>G68*0</f>
        <v>0</v>
      </c>
      <c r="M68" s="10">
        <f>N68*G68</f>
        <v>120</v>
      </c>
      <c r="N68" s="22">
        <v>2</v>
      </c>
      <c r="O68" s="22">
        <f t="shared" si="12"/>
        <v>0</v>
      </c>
      <c r="P68" s="22">
        <f t="shared" si="13"/>
        <v>0</v>
      </c>
      <c r="Q68" s="22">
        <f t="shared" si="14"/>
        <v>0</v>
      </c>
      <c r="R68" s="71">
        <f t="shared" si="15"/>
        <v>0</v>
      </c>
    </row>
    <row r="69" spans="2:18" ht="15" hidden="1" x14ac:dyDescent="0.15">
      <c r="B69" s="56"/>
      <c r="C69" s="56">
        <v>222</v>
      </c>
      <c r="D69" s="56">
        <f>B69*C69</f>
        <v>0</v>
      </c>
      <c r="E69" s="52">
        <f>(B69-1)*2*C69</f>
        <v>-444</v>
      </c>
      <c r="F69" s="52">
        <f t="shared" si="16"/>
        <v>888</v>
      </c>
      <c r="G69" s="56">
        <f t="shared" si="17"/>
        <v>444</v>
      </c>
      <c r="H69" s="56">
        <v>2600</v>
      </c>
      <c r="I69" s="10">
        <v>2600</v>
      </c>
      <c r="J69" s="10"/>
      <c r="K69" s="10"/>
      <c r="L69" s="52">
        <f>G69*0</f>
        <v>0</v>
      </c>
      <c r="M69" s="10">
        <f t="shared" ref="M69:M80" si="18">N69*G69</f>
        <v>1776</v>
      </c>
      <c r="N69" s="22">
        <v>4</v>
      </c>
      <c r="O69" s="22">
        <f t="shared" si="12"/>
        <v>0</v>
      </c>
      <c r="P69" s="22">
        <f t="shared" si="13"/>
        <v>0</v>
      </c>
      <c r="Q69" s="22">
        <f t="shared" si="14"/>
        <v>0</v>
      </c>
      <c r="R69" s="71">
        <f t="shared" si="15"/>
        <v>0</v>
      </c>
    </row>
    <row r="70" spans="2:18" ht="15" hidden="1" x14ac:dyDescent="0.15">
      <c r="B70" s="56"/>
      <c r="C70" s="56">
        <v>231</v>
      </c>
      <c r="D70" s="56">
        <f t="shared" ref="D70:D80" si="19">B70*C70</f>
        <v>0</v>
      </c>
      <c r="E70" s="52">
        <f>(B70-1)*2*C70</f>
        <v>-462</v>
      </c>
      <c r="F70" s="52">
        <f t="shared" si="16"/>
        <v>924</v>
      </c>
      <c r="G70" s="56">
        <f t="shared" si="17"/>
        <v>462</v>
      </c>
      <c r="H70" s="56">
        <v>3700</v>
      </c>
      <c r="I70" s="10">
        <v>3700</v>
      </c>
      <c r="J70" s="10"/>
      <c r="K70" s="10"/>
      <c r="L70" s="52">
        <f>G70*0</f>
        <v>0</v>
      </c>
      <c r="M70" s="10">
        <f t="shared" si="18"/>
        <v>2310</v>
      </c>
      <c r="N70" s="22">
        <v>5</v>
      </c>
      <c r="O70" s="22">
        <f t="shared" si="12"/>
        <v>1068</v>
      </c>
      <c r="P70" s="22">
        <f>M75*0</f>
        <v>0</v>
      </c>
      <c r="Q70" s="22">
        <f t="shared" si="14"/>
        <v>1068</v>
      </c>
      <c r="R70" s="71">
        <f t="shared" si="15"/>
        <v>0</v>
      </c>
    </row>
    <row r="71" spans="2:18" ht="15" hidden="1" x14ac:dyDescent="0.15">
      <c r="B71" s="56"/>
      <c r="C71" s="56">
        <v>0</v>
      </c>
      <c r="D71" s="56">
        <f t="shared" si="19"/>
        <v>0</v>
      </c>
      <c r="E71" s="52">
        <f t="shared" ref="E71:E80" si="20">(B71-1)*2*C71</f>
        <v>0</v>
      </c>
      <c r="F71" s="52">
        <f t="shared" si="16"/>
        <v>0</v>
      </c>
      <c r="G71" s="56">
        <f t="shared" si="17"/>
        <v>0</v>
      </c>
      <c r="H71" s="56">
        <v>5000</v>
      </c>
      <c r="I71" s="10" t="s">
        <v>55</v>
      </c>
      <c r="J71" s="10"/>
      <c r="K71" s="10"/>
      <c r="L71" s="52">
        <f>1*G71</f>
        <v>0</v>
      </c>
      <c r="M71" s="10">
        <f t="shared" si="18"/>
        <v>0</v>
      </c>
      <c r="N71" s="22">
        <v>6</v>
      </c>
      <c r="O71" s="22">
        <f t="shared" si="12"/>
        <v>0</v>
      </c>
      <c r="P71" s="22">
        <f>M76*2</f>
        <v>0</v>
      </c>
      <c r="Q71" s="22">
        <f t="shared" si="14"/>
        <v>0</v>
      </c>
      <c r="R71" s="71">
        <f t="shared" si="15"/>
        <v>0</v>
      </c>
    </row>
    <row r="72" spans="2:18" ht="15" hidden="1" x14ac:dyDescent="0.15">
      <c r="B72" s="56"/>
      <c r="C72" s="56">
        <v>0</v>
      </c>
      <c r="D72" s="56">
        <f t="shared" si="19"/>
        <v>0</v>
      </c>
      <c r="E72" s="52">
        <f t="shared" si="20"/>
        <v>0</v>
      </c>
      <c r="F72" s="52">
        <f t="shared" si="16"/>
        <v>0</v>
      </c>
      <c r="G72" s="56">
        <f t="shared" si="17"/>
        <v>0</v>
      </c>
      <c r="H72" s="56">
        <v>7050</v>
      </c>
      <c r="I72" s="10" t="s">
        <v>56</v>
      </c>
      <c r="J72" s="10"/>
      <c r="K72" s="10"/>
      <c r="L72" s="52">
        <f>1*G72</f>
        <v>0</v>
      </c>
      <c r="M72" s="10">
        <f t="shared" si="18"/>
        <v>0</v>
      </c>
      <c r="N72" s="22">
        <v>8</v>
      </c>
      <c r="O72" s="22">
        <f t="shared" si="12"/>
        <v>0</v>
      </c>
      <c r="P72" s="22">
        <f>M77*2</f>
        <v>0</v>
      </c>
      <c r="Q72" s="22">
        <f t="shared" si="14"/>
        <v>0</v>
      </c>
      <c r="R72" s="71">
        <f t="shared" si="15"/>
        <v>0</v>
      </c>
    </row>
    <row r="73" spans="2:18" ht="15" hidden="1" x14ac:dyDescent="0.15">
      <c r="B73" s="56"/>
      <c r="C73" s="56">
        <v>0</v>
      </c>
      <c r="D73" s="56">
        <f t="shared" si="19"/>
        <v>0</v>
      </c>
      <c r="E73" s="52">
        <f t="shared" si="20"/>
        <v>0</v>
      </c>
      <c r="F73" s="52">
        <f t="shared" si="16"/>
        <v>0</v>
      </c>
      <c r="G73" s="56">
        <f t="shared" si="17"/>
        <v>0</v>
      </c>
      <c r="H73" s="56">
        <v>30250</v>
      </c>
      <c r="I73" s="10" t="s">
        <v>57</v>
      </c>
      <c r="J73" s="10"/>
      <c r="K73" s="10"/>
      <c r="L73" s="52">
        <f>1*G73</f>
        <v>0</v>
      </c>
      <c r="M73" s="10">
        <f t="shared" si="18"/>
        <v>0</v>
      </c>
      <c r="N73" s="22">
        <v>33</v>
      </c>
      <c r="O73" s="22">
        <f t="shared" si="12"/>
        <v>0</v>
      </c>
      <c r="P73" s="22">
        <f>M78*2</f>
        <v>0</v>
      </c>
      <c r="Q73" s="22">
        <f t="shared" si="14"/>
        <v>0</v>
      </c>
      <c r="R73" s="71">
        <f t="shared" si="15"/>
        <v>0</v>
      </c>
    </row>
    <row r="74" spans="2:18" ht="15" hidden="1" x14ac:dyDescent="0.15">
      <c r="B74" s="56"/>
      <c r="C74" s="56">
        <v>0</v>
      </c>
      <c r="D74" s="56">
        <f t="shared" si="19"/>
        <v>0</v>
      </c>
      <c r="E74" s="52">
        <f t="shared" si="20"/>
        <v>0</v>
      </c>
      <c r="F74" s="52">
        <f>4*D74</f>
        <v>0</v>
      </c>
      <c r="G74" s="56">
        <f t="shared" si="17"/>
        <v>0</v>
      </c>
      <c r="H74" s="56">
        <v>64450</v>
      </c>
      <c r="I74" s="10" t="s">
        <v>58</v>
      </c>
      <c r="J74" s="10"/>
      <c r="K74" s="10"/>
      <c r="L74" s="52">
        <f>1*G74</f>
        <v>0</v>
      </c>
      <c r="M74" s="10">
        <f t="shared" si="18"/>
        <v>0</v>
      </c>
      <c r="N74" s="22">
        <v>78</v>
      </c>
      <c r="O74" s="22">
        <f t="shared" si="12"/>
        <v>0</v>
      </c>
      <c r="P74" s="22">
        <f>M79*2</f>
        <v>0</v>
      </c>
      <c r="Q74" s="22">
        <f t="shared" si="14"/>
        <v>0</v>
      </c>
      <c r="R74" s="71">
        <f t="shared" si="15"/>
        <v>0</v>
      </c>
    </row>
    <row r="75" spans="2:18" ht="15" hidden="1" x14ac:dyDescent="0.15">
      <c r="B75" s="57"/>
      <c r="C75" s="57">
        <v>6</v>
      </c>
      <c r="D75" s="57">
        <f t="shared" si="19"/>
        <v>0</v>
      </c>
      <c r="E75" s="52">
        <v>0</v>
      </c>
      <c r="F75" s="58">
        <f>89*2*C75</f>
        <v>1068</v>
      </c>
      <c r="G75" s="57">
        <f>C75*89</f>
        <v>534</v>
      </c>
      <c r="H75" s="57">
        <v>1400</v>
      </c>
      <c r="I75" s="66">
        <v>1400</v>
      </c>
      <c r="J75" s="10"/>
      <c r="K75" s="10"/>
      <c r="L75" s="81">
        <v>0</v>
      </c>
      <c r="M75" s="65">
        <f t="shared" si="18"/>
        <v>1068</v>
      </c>
      <c r="N75" s="62">
        <v>2</v>
      </c>
      <c r="O75" s="22">
        <f t="shared" si="12"/>
        <v>0</v>
      </c>
      <c r="P75" s="22">
        <f>M80*2</f>
        <v>0</v>
      </c>
      <c r="Q75" s="22">
        <f t="shared" si="14"/>
        <v>0</v>
      </c>
      <c r="R75" s="71">
        <f t="shared" si="15"/>
        <v>0</v>
      </c>
    </row>
    <row r="76" spans="2:18" ht="15" hidden="1" x14ac:dyDescent="0.15">
      <c r="B76" s="79"/>
      <c r="C76" s="79">
        <v>0</v>
      </c>
      <c r="D76" s="56">
        <f t="shared" si="19"/>
        <v>0</v>
      </c>
      <c r="E76" s="52">
        <f t="shared" si="20"/>
        <v>0</v>
      </c>
      <c r="F76" s="52">
        <f t="shared" si="16"/>
        <v>0</v>
      </c>
      <c r="G76" s="80">
        <f t="shared" si="17"/>
        <v>0</v>
      </c>
      <c r="H76" s="80">
        <v>0</v>
      </c>
      <c r="I76" s="10" t="s">
        <v>59</v>
      </c>
      <c r="J76" s="10"/>
      <c r="K76" s="10"/>
      <c r="L76" s="81">
        <f>2*G76</f>
        <v>0</v>
      </c>
      <c r="M76" s="65">
        <f t="shared" si="18"/>
        <v>0</v>
      </c>
      <c r="N76" s="62">
        <v>0</v>
      </c>
      <c r="O76" s="67">
        <f t="shared" ref="O76:R76" si="21">SUM(O63:O75)</f>
        <v>2034</v>
      </c>
      <c r="P76" s="67">
        <f t="shared" si="21"/>
        <v>8412</v>
      </c>
      <c r="Q76" s="67">
        <f t="shared" si="21"/>
        <v>5274</v>
      </c>
      <c r="R76" s="67">
        <f t="shared" si="21"/>
        <v>0</v>
      </c>
    </row>
    <row r="77" spans="2:18" ht="15" hidden="1" x14ac:dyDescent="0.15">
      <c r="B77" s="79"/>
      <c r="C77" s="79">
        <v>0</v>
      </c>
      <c r="D77" s="56">
        <f t="shared" si="19"/>
        <v>0</v>
      </c>
      <c r="E77" s="52">
        <f t="shared" si="20"/>
        <v>0</v>
      </c>
      <c r="F77" s="52">
        <f t="shared" si="16"/>
        <v>0</v>
      </c>
      <c r="G77" s="80">
        <f t="shared" si="17"/>
        <v>0</v>
      </c>
      <c r="H77" s="80">
        <v>0</v>
      </c>
      <c r="I77" s="10" t="s">
        <v>60</v>
      </c>
      <c r="J77" s="10"/>
      <c r="K77" s="10"/>
      <c r="L77" s="81">
        <f>3*G77</f>
        <v>0</v>
      </c>
      <c r="M77" s="65">
        <f t="shared" si="18"/>
        <v>0</v>
      </c>
      <c r="N77" s="62">
        <v>0</v>
      </c>
    </row>
    <row r="78" spans="2:18" ht="15" hidden="1" x14ac:dyDescent="0.15">
      <c r="B78" s="79"/>
      <c r="C78" s="79">
        <v>0</v>
      </c>
      <c r="D78" s="56">
        <f t="shared" si="19"/>
        <v>0</v>
      </c>
      <c r="E78" s="52">
        <f t="shared" si="20"/>
        <v>0</v>
      </c>
      <c r="F78" s="52">
        <f t="shared" si="16"/>
        <v>0</v>
      </c>
      <c r="G78" s="80">
        <f t="shared" si="17"/>
        <v>0</v>
      </c>
      <c r="H78" s="80">
        <v>0</v>
      </c>
      <c r="I78" s="10" t="s">
        <v>61</v>
      </c>
      <c r="J78" s="10"/>
      <c r="K78" s="10"/>
      <c r="L78" s="81">
        <f>3*G78</f>
        <v>0</v>
      </c>
      <c r="M78" s="65">
        <f t="shared" si="18"/>
        <v>0</v>
      </c>
      <c r="N78" s="62">
        <v>0</v>
      </c>
    </row>
    <row r="79" spans="2:18" ht="15" hidden="1" x14ac:dyDescent="0.15">
      <c r="B79" s="79"/>
      <c r="C79" s="79">
        <v>0</v>
      </c>
      <c r="D79" s="56">
        <f t="shared" si="19"/>
        <v>0</v>
      </c>
      <c r="E79" s="52">
        <f t="shared" si="20"/>
        <v>0</v>
      </c>
      <c r="F79" s="52">
        <f t="shared" si="16"/>
        <v>0</v>
      </c>
      <c r="G79" s="80">
        <f t="shared" si="17"/>
        <v>0</v>
      </c>
      <c r="H79" s="80">
        <v>0</v>
      </c>
      <c r="I79" s="10" t="s">
        <v>62</v>
      </c>
      <c r="J79" s="10"/>
      <c r="K79" s="10"/>
      <c r="L79" s="81">
        <f>4*G79</f>
        <v>0</v>
      </c>
      <c r="M79" s="65">
        <f t="shared" si="18"/>
        <v>0</v>
      </c>
      <c r="N79" s="62">
        <v>0</v>
      </c>
    </row>
    <row r="80" spans="2:18" ht="15" hidden="1" x14ac:dyDescent="0.15">
      <c r="B80" s="79"/>
      <c r="C80" s="79">
        <v>0</v>
      </c>
      <c r="D80" s="56">
        <f t="shared" si="19"/>
        <v>0</v>
      </c>
      <c r="E80" s="52">
        <f t="shared" si="20"/>
        <v>0</v>
      </c>
      <c r="F80" s="52">
        <f t="shared" si="16"/>
        <v>0</v>
      </c>
      <c r="G80" s="80">
        <f t="shared" si="17"/>
        <v>0</v>
      </c>
      <c r="H80" s="80">
        <v>0</v>
      </c>
      <c r="I80" s="10" t="s">
        <v>63</v>
      </c>
      <c r="J80" s="10"/>
      <c r="K80" s="10"/>
      <c r="L80" s="81">
        <f>4*G80</f>
        <v>0</v>
      </c>
      <c r="M80" s="65">
        <f t="shared" si="18"/>
        <v>0</v>
      </c>
      <c r="N80" s="62">
        <v>0</v>
      </c>
    </row>
    <row r="81" spans="2:14" ht="14.25" hidden="1" x14ac:dyDescent="0.15">
      <c r="B81" s="59"/>
      <c r="C81" s="59"/>
      <c r="D81" s="67">
        <f>SUM(D68:D80)</f>
        <v>0</v>
      </c>
      <c r="E81" s="67">
        <f t="shared" ref="E81:H81" si="22">SUM(E68:E80)</f>
        <v>-966</v>
      </c>
      <c r="F81" s="67">
        <f t="shared" si="22"/>
        <v>3000</v>
      </c>
      <c r="G81" s="67">
        <f t="shared" si="22"/>
        <v>1500</v>
      </c>
      <c r="H81" s="67">
        <f t="shared" si="22"/>
        <v>115750</v>
      </c>
      <c r="I81" s="67"/>
      <c r="J81" s="67"/>
      <c r="K81" s="67"/>
      <c r="L81" s="67">
        <f>SUM(L68:L80)</f>
        <v>0</v>
      </c>
      <c r="M81" s="67">
        <f>SUM(M68:M70)</f>
        <v>4206</v>
      </c>
      <c r="N81" s="67">
        <f t="shared" ref="N81" si="23">SUM(N68:N80)</f>
        <v>138</v>
      </c>
    </row>
    <row r="82" spans="2:14" hidden="1" x14ac:dyDescent="0.15"/>
    <row r="83" spans="2:14" hidden="1" x14ac:dyDescent="0.15">
      <c r="C83" s="30">
        <f t="shared" ref="C83:C95" si="24">G68*H68</f>
        <v>78000</v>
      </c>
      <c r="D83" s="30" t="e">
        <f>#REF!*#REF!</f>
        <v>#REF!</v>
      </c>
      <c r="E83" s="30" t="e">
        <f>#REF!*#REF!</f>
        <v>#REF!</v>
      </c>
      <c r="G83" s="33">
        <v>1300</v>
      </c>
      <c r="H83" s="33">
        <f>G68+G71</f>
        <v>60</v>
      </c>
      <c r="I83" s="34">
        <f t="shared" ref="I83:I90" si="25">G83*H83</f>
        <v>78000</v>
      </c>
      <c r="L83" s="30" t="e">
        <f>#REF!+#REF!+L81</f>
        <v>#REF!</v>
      </c>
    </row>
    <row r="84" spans="2:14" hidden="1" x14ac:dyDescent="0.15">
      <c r="C84" s="30">
        <f t="shared" si="24"/>
        <v>1154400</v>
      </c>
      <c r="D84" s="30" t="e">
        <f>#REF!*#REF!</f>
        <v>#REF!</v>
      </c>
      <c r="E84" s="30" t="e">
        <f>#REF!*#REF!</f>
        <v>#REF!</v>
      </c>
      <c r="G84" s="33">
        <v>2600</v>
      </c>
      <c r="H84" s="33">
        <f>G69</f>
        <v>444</v>
      </c>
      <c r="I84" s="34">
        <f t="shared" si="25"/>
        <v>1154400</v>
      </c>
    </row>
    <row r="85" spans="2:14" hidden="1" x14ac:dyDescent="0.15">
      <c r="C85" s="30">
        <f t="shared" si="24"/>
        <v>1709400</v>
      </c>
      <c r="D85" s="30" t="e">
        <f>#REF!*#REF!</f>
        <v>#REF!</v>
      </c>
      <c r="E85" s="30" t="e">
        <f>#REF!*#REF!</f>
        <v>#REF!</v>
      </c>
      <c r="G85" s="33">
        <v>3700</v>
      </c>
      <c r="H85" s="33">
        <f>G70+G71</f>
        <v>462</v>
      </c>
      <c r="I85" s="34">
        <f t="shared" si="25"/>
        <v>1709400</v>
      </c>
    </row>
    <row r="86" spans="2:14" hidden="1" x14ac:dyDescent="0.15">
      <c r="C86" s="30">
        <f t="shared" si="24"/>
        <v>0</v>
      </c>
      <c r="D86" s="30" t="e">
        <f>#REF!*#REF!</f>
        <v>#REF!</v>
      </c>
      <c r="E86" s="30" t="e">
        <f>#REF!*#REF!</f>
        <v>#REF!</v>
      </c>
      <c r="G86" s="33">
        <v>4650</v>
      </c>
      <c r="H86" s="33">
        <v>0</v>
      </c>
      <c r="I86" s="34">
        <f t="shared" si="25"/>
        <v>0</v>
      </c>
    </row>
    <row r="87" spans="2:14" hidden="1" x14ac:dyDescent="0.15">
      <c r="C87" s="30">
        <f t="shared" si="24"/>
        <v>0</v>
      </c>
      <c r="D87" s="30" t="e">
        <f>#REF!*#REF!</f>
        <v>#REF!</v>
      </c>
      <c r="E87" s="30" t="e">
        <f>#REF!*#REF!</f>
        <v>#REF!</v>
      </c>
      <c r="G87" s="34">
        <v>2400</v>
      </c>
      <c r="H87" s="34">
        <f>G72</f>
        <v>0</v>
      </c>
      <c r="I87" s="34">
        <f t="shared" si="25"/>
        <v>0</v>
      </c>
    </row>
    <row r="88" spans="2:14" hidden="1" x14ac:dyDescent="0.15">
      <c r="C88" s="30">
        <f t="shared" si="24"/>
        <v>0</v>
      </c>
      <c r="D88" s="30" t="e">
        <f>#REF!*#REF!</f>
        <v>#REF!</v>
      </c>
      <c r="E88" s="30" t="e">
        <f>#REF!*#REF!</f>
        <v>#REF!</v>
      </c>
      <c r="G88" s="34">
        <v>2350</v>
      </c>
      <c r="H88" s="34">
        <f>G73</f>
        <v>0</v>
      </c>
      <c r="I88" s="34">
        <f t="shared" si="25"/>
        <v>0</v>
      </c>
    </row>
    <row r="89" spans="2:14" hidden="1" x14ac:dyDescent="0.15">
      <c r="C89" s="30">
        <f t="shared" si="24"/>
        <v>0</v>
      </c>
      <c r="D89" s="30" t="e">
        <f>#REF!*#REF!</f>
        <v>#REF!</v>
      </c>
      <c r="E89" s="30" t="e">
        <f>#REF!*#REF!</f>
        <v>#REF!</v>
      </c>
      <c r="G89" s="34">
        <v>4000</v>
      </c>
      <c r="H89" s="34">
        <f>G74</f>
        <v>0</v>
      </c>
      <c r="I89" s="34">
        <f t="shared" si="25"/>
        <v>0</v>
      </c>
      <c r="M89" s="35" t="s">
        <v>64</v>
      </c>
    </row>
    <row r="90" spans="2:14" ht="14.25" hidden="1" x14ac:dyDescent="0.15">
      <c r="C90" s="30">
        <f t="shared" si="24"/>
        <v>747600</v>
      </c>
      <c r="D90" s="30" t="e">
        <f>#REF!*#REF!</f>
        <v>#REF!</v>
      </c>
      <c r="E90" s="30" t="e">
        <f>#REF!*#REF!</f>
        <v>#REF!</v>
      </c>
      <c r="G90" s="34">
        <v>3900</v>
      </c>
      <c r="H90" s="34">
        <v>0</v>
      </c>
      <c r="I90" s="34">
        <f t="shared" si="25"/>
        <v>0</v>
      </c>
      <c r="L90" s="20">
        <f>C98</f>
        <v>3689400</v>
      </c>
      <c r="M90" s="35">
        <f>I92-L90</f>
        <v>-747600</v>
      </c>
    </row>
    <row r="91" spans="2:14" hidden="1" x14ac:dyDescent="0.15">
      <c r="C91" s="30">
        <f t="shared" si="24"/>
        <v>0</v>
      </c>
      <c r="D91" s="30" t="e">
        <f>#REF!*#REF!</f>
        <v>#REF!</v>
      </c>
      <c r="E91" s="30" t="e">
        <f>#REF!*#REF!</f>
        <v>#REF!</v>
      </c>
    </row>
    <row r="92" spans="2:14" ht="14.25" hidden="1" x14ac:dyDescent="0.15">
      <c r="C92" s="30">
        <f t="shared" si="24"/>
        <v>0</v>
      </c>
      <c r="D92" s="30"/>
      <c r="E92" s="30" t="e">
        <f>#REF!*#REF!</f>
        <v>#REF!</v>
      </c>
      <c r="I92" s="68">
        <f>SUM(I83:I90)</f>
        <v>2941800</v>
      </c>
      <c r="J92" s="69"/>
      <c r="K92" s="69"/>
    </row>
    <row r="93" spans="2:14" hidden="1" x14ac:dyDescent="0.15">
      <c r="C93" s="30">
        <f t="shared" si="24"/>
        <v>0</v>
      </c>
      <c r="D93" s="30" t="e">
        <f>SUM(D83:D92)</f>
        <v>#REF!</v>
      </c>
      <c r="E93" s="30" t="e">
        <f>SUM(E83:E92)</f>
        <v>#REF!</v>
      </c>
    </row>
    <row r="94" spans="2:14" hidden="1" x14ac:dyDescent="0.15">
      <c r="C94" s="30">
        <f t="shared" si="24"/>
        <v>0</v>
      </c>
      <c r="F94" s="30" t="e">
        <f>C98+D93+E93</f>
        <v>#REF!</v>
      </c>
    </row>
    <row r="95" spans="2:14" hidden="1" x14ac:dyDescent="0.15">
      <c r="C95" s="30">
        <f t="shared" si="24"/>
        <v>0</v>
      </c>
    </row>
    <row r="96" spans="2:14" hidden="1" x14ac:dyDescent="0.15">
      <c r="C96" s="30"/>
    </row>
    <row r="97" spans="3:5" hidden="1" x14ac:dyDescent="0.15">
      <c r="C97" s="30"/>
    </row>
    <row r="98" spans="3:5" hidden="1" x14ac:dyDescent="0.15">
      <c r="C98" s="30">
        <f>SUM(C83:C96)</f>
        <v>3689400</v>
      </c>
    </row>
    <row r="99" spans="3:5" x14ac:dyDescent="0.15">
      <c r="E99" s="60"/>
    </row>
  </sheetData>
  <mergeCells count="20">
    <mergeCell ref="D50:G50"/>
    <mergeCell ref="H50:N50"/>
    <mergeCell ref="B42:N43"/>
    <mergeCell ref="B44:N44"/>
    <mergeCell ref="B45:N45"/>
    <mergeCell ref="B46:N46"/>
    <mergeCell ref="B47:N47"/>
    <mergeCell ref="A48:A49"/>
    <mergeCell ref="B48:B49"/>
    <mergeCell ref="C48:C49"/>
    <mergeCell ref="D48:G49"/>
    <mergeCell ref="H48:N49"/>
    <mergeCell ref="A1:N1"/>
    <mergeCell ref="A2:N2"/>
    <mergeCell ref="A3:F3"/>
    <mergeCell ref="G3:N3"/>
    <mergeCell ref="O6:O13"/>
    <mergeCell ref="C10:D10"/>
    <mergeCell ref="C11:D11"/>
    <mergeCell ref="C12:D12"/>
  </mergeCells>
  <phoneticPr fontId="22" type="noConversion"/>
  <printOptions horizontalCentered="1" verticalCentered="1"/>
  <pageMargins left="0" right="0" top="0" bottom="0" header="0" footer="0"/>
  <pageSetup paperSize="9" scale="5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1"/>
  <sheetViews>
    <sheetView zoomScale="80" zoomScaleNormal="80" zoomScaleSheetLayoutView="100" workbookViewId="0">
      <selection activeCell="F15" sqref="F15"/>
    </sheetView>
  </sheetViews>
  <sheetFormatPr defaultRowHeight="13.5" x14ac:dyDescent="0.15"/>
  <cols>
    <col min="2" max="2" width="55.5" bestFit="1" customWidth="1"/>
    <col min="3" max="3" width="42.625" customWidth="1"/>
    <col min="4" max="4" width="10" bestFit="1" customWidth="1"/>
    <col min="5" max="5" width="9.375" bestFit="1" customWidth="1"/>
    <col min="6" max="6" width="11.375" bestFit="1" customWidth="1"/>
    <col min="7" max="9" width="9" customWidth="1"/>
    <col min="10" max="10" width="9.375" bestFit="1" customWidth="1"/>
    <col min="11" max="11" width="14.5" bestFit="1" customWidth="1"/>
    <col min="12" max="12" width="9.375" bestFit="1" customWidth="1"/>
  </cols>
  <sheetData>
    <row r="1" spans="1:21" ht="18.75" x14ac:dyDescent="0.15">
      <c r="A1" s="192" t="s">
        <v>69</v>
      </c>
      <c r="B1" s="192"/>
      <c r="C1" s="192"/>
      <c r="D1" s="192"/>
      <c r="E1" s="192"/>
      <c r="F1" s="192"/>
      <c r="G1" s="193"/>
      <c r="H1" s="193"/>
      <c r="I1" s="193"/>
      <c r="J1" s="192"/>
      <c r="K1" s="194"/>
      <c r="L1" s="192"/>
      <c r="M1" s="87"/>
      <c r="N1" s="87"/>
      <c r="O1" s="87"/>
      <c r="P1" s="87"/>
    </row>
    <row r="2" spans="1:21" ht="17.25" customHeight="1" x14ac:dyDescent="0.15">
      <c r="A2" s="195" t="s">
        <v>311</v>
      </c>
      <c r="B2" s="195"/>
      <c r="C2" s="195"/>
      <c r="D2" s="195"/>
      <c r="E2" s="195"/>
      <c r="F2" s="195"/>
      <c r="G2" s="196"/>
      <c r="H2" s="196"/>
      <c r="I2" s="196"/>
      <c r="J2" s="195"/>
      <c r="K2" s="197"/>
      <c r="L2" s="195"/>
      <c r="M2" s="87"/>
      <c r="N2" s="87"/>
      <c r="O2" s="87"/>
      <c r="P2" s="87"/>
    </row>
    <row r="3" spans="1:21" ht="28.5" customHeight="1" x14ac:dyDescent="0.15">
      <c r="A3" s="198" t="s">
        <v>261</v>
      </c>
      <c r="B3" s="199"/>
      <c r="C3" s="199"/>
      <c r="D3" s="199"/>
      <c r="E3" s="199"/>
      <c r="F3" s="199"/>
      <c r="G3" s="199"/>
      <c r="H3" s="199"/>
      <c r="I3" s="199"/>
      <c r="J3" s="199"/>
      <c r="K3" s="227"/>
      <c r="L3" s="228"/>
      <c r="M3" s="87"/>
      <c r="N3" s="87"/>
      <c r="O3" s="87"/>
      <c r="P3" s="87"/>
    </row>
    <row r="4" spans="1:21" ht="54" x14ac:dyDescent="0.15">
      <c r="A4" s="1" t="s">
        <v>1</v>
      </c>
      <c r="B4" s="1" t="s">
        <v>2</v>
      </c>
      <c r="C4" s="1" t="s">
        <v>70</v>
      </c>
      <c r="D4" s="1" t="s">
        <v>4</v>
      </c>
      <c r="E4" s="1" t="s">
        <v>5</v>
      </c>
      <c r="F4" s="1" t="s">
        <v>6</v>
      </c>
      <c r="G4" s="1" t="s">
        <v>71</v>
      </c>
      <c r="H4" s="2" t="s">
        <v>8</v>
      </c>
      <c r="I4" s="2" t="s">
        <v>9</v>
      </c>
      <c r="J4" s="13" t="s">
        <v>10</v>
      </c>
      <c r="K4" s="15" t="s">
        <v>11</v>
      </c>
      <c r="L4" s="1" t="s">
        <v>12</v>
      </c>
      <c r="M4" s="31"/>
      <c r="N4" s="21" t="s">
        <v>72</v>
      </c>
      <c r="O4" s="21" t="s">
        <v>269</v>
      </c>
      <c r="P4" s="21" t="s">
        <v>266</v>
      </c>
      <c r="Q4" s="21" t="s">
        <v>75</v>
      </c>
      <c r="R4" s="21" t="s">
        <v>142</v>
      </c>
    </row>
    <row r="5" spans="1:21" ht="14.25" x14ac:dyDescent="0.15">
      <c r="A5" s="3" t="s">
        <v>76</v>
      </c>
      <c r="B5" s="88" t="s">
        <v>77</v>
      </c>
      <c r="C5" s="89"/>
      <c r="D5" s="89"/>
      <c r="E5" s="3"/>
      <c r="F5" s="4"/>
      <c r="G5" s="5"/>
      <c r="H5" s="5"/>
      <c r="I5" s="5"/>
      <c r="J5" s="90"/>
      <c r="K5" s="15"/>
      <c r="L5" s="16"/>
      <c r="M5" s="28"/>
      <c r="N5" s="91">
        <f>200*100*6*0.785/1000/100</f>
        <v>0.94200000000000006</v>
      </c>
      <c r="O5" s="92">
        <f>160*80*6*0.785/1000/100</f>
        <v>0.60287999999999997</v>
      </c>
      <c r="P5" s="92">
        <f>250*250*16*0.785/1000/100+4*130*57.5*6*0.785/1000/100+4*50*50*10*0.785/100/1000</f>
        <v>10.043289999999999</v>
      </c>
      <c r="Q5">
        <f>3.64*0.363*2+1.176</f>
        <v>3.8186400000000003</v>
      </c>
      <c r="R5">
        <v>3.64</v>
      </c>
    </row>
    <row r="6" spans="1:21" ht="27" x14ac:dyDescent="0.15">
      <c r="A6" s="3">
        <v>1</v>
      </c>
      <c r="B6" s="93" t="s">
        <v>262</v>
      </c>
      <c r="C6" s="94" t="s">
        <v>263</v>
      </c>
      <c r="D6" s="9" t="s">
        <v>78</v>
      </c>
      <c r="E6" s="9" t="s">
        <v>24</v>
      </c>
      <c r="F6" s="52" t="s">
        <v>79</v>
      </c>
      <c r="G6" s="131">
        <v>151</v>
      </c>
      <c r="H6" s="95"/>
      <c r="I6" s="95">
        <f t="shared" ref="I6:I14" si="0">H6+G6</f>
        <v>151</v>
      </c>
      <c r="J6" s="96">
        <f>P6</f>
        <v>169.00433999999998</v>
      </c>
      <c r="K6" s="97">
        <f>I6*J6</f>
        <v>25519.655339999998</v>
      </c>
      <c r="L6" s="229" t="s">
        <v>80</v>
      </c>
      <c r="M6" s="98"/>
      <c r="N6" s="92">
        <v>14.57</v>
      </c>
      <c r="O6" s="92">
        <v>11.02</v>
      </c>
      <c r="P6" s="92">
        <f>N6*(5.6)+O6*(2.8+3.2)+O5*2+P5*2</f>
        <v>169.00433999999998</v>
      </c>
    </row>
    <row r="7" spans="1:21" ht="40.5" x14ac:dyDescent="0.15">
      <c r="A7" s="3">
        <v>2</v>
      </c>
      <c r="B7" s="93" t="s">
        <v>264</v>
      </c>
      <c r="C7" s="94" t="s">
        <v>265</v>
      </c>
      <c r="D7" s="9" t="s">
        <v>78</v>
      </c>
      <c r="E7" s="9" t="s">
        <v>24</v>
      </c>
      <c r="F7" s="52" t="s">
        <v>79</v>
      </c>
      <c r="G7" s="131">
        <v>10</v>
      </c>
      <c r="H7" s="95"/>
      <c r="I7" s="95">
        <f t="shared" si="0"/>
        <v>10</v>
      </c>
      <c r="J7" s="96">
        <f>P7</f>
        <v>114.71907999999999</v>
      </c>
      <c r="K7" s="97">
        <f>I7*J7</f>
        <v>1147.1907999999999</v>
      </c>
      <c r="L7" s="230"/>
      <c r="M7" s="98"/>
      <c r="N7" s="92">
        <v>14.57</v>
      </c>
      <c r="O7" s="92">
        <v>11.02</v>
      </c>
      <c r="P7" s="92">
        <f>N7*(2.3)+O7*(2.8+1.489+1.148)+O5*2+P5*2</f>
        <v>114.71907999999999</v>
      </c>
      <c r="S7">
        <v>7530</v>
      </c>
      <c r="T7">
        <v>5020</v>
      </c>
      <c r="U7" s="92">
        <f>160*80*6*0.785/1000/100</f>
        <v>0.60287999999999997</v>
      </c>
    </row>
    <row r="8" spans="1:21" ht="27" x14ac:dyDescent="0.15">
      <c r="A8" s="3">
        <v>3</v>
      </c>
      <c r="B8" s="93" t="s">
        <v>267</v>
      </c>
      <c r="C8" s="99">
        <v>7440</v>
      </c>
      <c r="D8" s="9" t="s">
        <v>78</v>
      </c>
      <c r="E8" s="9" t="s">
        <v>81</v>
      </c>
      <c r="F8" s="52" t="s">
        <v>18</v>
      </c>
      <c r="G8" s="131">
        <f>122*6+8*3</f>
        <v>756</v>
      </c>
      <c r="H8" s="95"/>
      <c r="I8" s="95">
        <f t="shared" si="0"/>
        <v>756</v>
      </c>
      <c r="J8" s="96">
        <v>7.72</v>
      </c>
      <c r="K8" s="97">
        <f t="shared" ref="K8:K12" si="1">C8*I8*J8/1000</f>
        <v>43422.220799999996</v>
      </c>
      <c r="L8" s="230"/>
      <c r="M8" s="98"/>
      <c r="N8" s="100">
        <f t="shared" ref="N8:N9" si="2">C8*I8</f>
        <v>5624640</v>
      </c>
      <c r="O8" s="100"/>
      <c r="P8" s="100"/>
      <c r="S8">
        <v>6</v>
      </c>
      <c r="T8">
        <v>6</v>
      </c>
    </row>
    <row r="9" spans="1:21" ht="27" x14ac:dyDescent="0.15">
      <c r="A9" s="3">
        <v>4</v>
      </c>
      <c r="B9" s="93" t="s">
        <v>267</v>
      </c>
      <c r="C9" s="99">
        <v>4930</v>
      </c>
      <c r="D9" s="9" t="s">
        <v>78</v>
      </c>
      <c r="E9" s="9" t="s">
        <v>81</v>
      </c>
      <c r="F9" s="52" t="s">
        <v>18</v>
      </c>
      <c r="G9" s="131">
        <f>15*6+1*3</f>
        <v>93</v>
      </c>
      <c r="H9" s="95"/>
      <c r="I9" s="95">
        <f t="shared" si="0"/>
        <v>93</v>
      </c>
      <c r="J9" s="96">
        <v>7.72</v>
      </c>
      <c r="K9" s="97">
        <f t="shared" si="1"/>
        <v>3539.5427999999997</v>
      </c>
      <c r="L9" s="230"/>
      <c r="M9" s="98"/>
      <c r="N9" s="100">
        <f t="shared" si="2"/>
        <v>458490</v>
      </c>
      <c r="O9" s="100"/>
      <c r="P9" s="100"/>
    </row>
    <row r="10" spans="1:21" ht="54" x14ac:dyDescent="0.15">
      <c r="A10" s="3">
        <v>5</v>
      </c>
      <c r="B10" s="93" t="s">
        <v>268</v>
      </c>
      <c r="C10" s="99"/>
      <c r="D10" s="9" t="s">
        <v>82</v>
      </c>
      <c r="E10" s="38" t="s">
        <v>24</v>
      </c>
      <c r="F10" s="52" t="s">
        <v>15</v>
      </c>
      <c r="G10" s="131">
        <f>G8*2+G9*2</f>
        <v>1698</v>
      </c>
      <c r="H10" s="95"/>
      <c r="I10" s="95">
        <f t="shared" si="0"/>
        <v>1698</v>
      </c>
      <c r="J10" s="99">
        <v>0.60287999999999997</v>
      </c>
      <c r="K10" s="97">
        <f>I10*J10</f>
        <v>1023.6902399999999</v>
      </c>
      <c r="L10" s="230"/>
      <c r="M10" s="177" t="s">
        <v>260</v>
      </c>
      <c r="N10" s="100"/>
      <c r="O10" s="100">
        <f>51100*2+55700*4+48900*8+46600*6</f>
        <v>995800</v>
      </c>
      <c r="P10" s="100"/>
      <c r="Q10" s="138" t="e">
        <f>#REF!+#REF!</f>
        <v>#REF!</v>
      </c>
    </row>
    <row r="11" spans="1:21" ht="15" x14ac:dyDescent="0.15">
      <c r="A11" s="3">
        <v>6</v>
      </c>
      <c r="B11" s="101" t="s">
        <v>273</v>
      </c>
      <c r="C11" s="99">
        <v>1130</v>
      </c>
      <c r="D11" s="9" t="s">
        <v>82</v>
      </c>
      <c r="E11" s="38" t="s">
        <v>24</v>
      </c>
      <c r="F11" s="52" t="s">
        <v>18</v>
      </c>
      <c r="G11" s="131">
        <f>122*10+12*5+8*4+1*2</f>
        <v>1314</v>
      </c>
      <c r="H11" s="102"/>
      <c r="I11" s="95">
        <f t="shared" si="0"/>
        <v>1314</v>
      </c>
      <c r="J11" s="103">
        <v>0.88800000000000001</v>
      </c>
      <c r="K11" s="97">
        <f t="shared" si="1"/>
        <v>1318.5201599999998</v>
      </c>
      <c r="L11" s="230"/>
      <c r="M11" s="98"/>
      <c r="N11" s="100"/>
      <c r="O11" s="100"/>
      <c r="P11" s="100"/>
    </row>
    <row r="12" spans="1:21" ht="15" x14ac:dyDescent="0.15">
      <c r="A12" s="3">
        <v>7</v>
      </c>
      <c r="B12" s="93" t="s">
        <v>270</v>
      </c>
      <c r="C12" s="99">
        <v>1050</v>
      </c>
      <c r="D12" s="9" t="s">
        <v>82</v>
      </c>
      <c r="E12" s="38" t="s">
        <v>24</v>
      </c>
      <c r="F12" s="52" t="s">
        <v>18</v>
      </c>
      <c r="G12" s="131">
        <f>122*4+12*2+8*4+1*2</f>
        <v>546</v>
      </c>
      <c r="H12" s="102"/>
      <c r="I12" s="95">
        <f t="shared" si="0"/>
        <v>546</v>
      </c>
      <c r="J12" s="103">
        <v>1.48</v>
      </c>
      <c r="K12" s="97">
        <f t="shared" si="1"/>
        <v>848.48400000000004</v>
      </c>
      <c r="L12" s="230"/>
      <c r="M12" s="98"/>
      <c r="N12" s="100"/>
      <c r="O12" s="100"/>
      <c r="P12" s="100"/>
    </row>
    <row r="13" spans="1:21" ht="15" x14ac:dyDescent="0.15">
      <c r="A13" s="3">
        <v>8</v>
      </c>
      <c r="B13" s="176" t="s">
        <v>271</v>
      </c>
      <c r="C13" s="104" t="s">
        <v>85</v>
      </c>
      <c r="D13" s="9" t="s">
        <v>82</v>
      </c>
      <c r="E13" s="38" t="s">
        <v>24</v>
      </c>
      <c r="F13" s="52" t="s">
        <v>18</v>
      </c>
      <c r="G13" s="131">
        <f>122*4+12*4+8*2+1*2</f>
        <v>554</v>
      </c>
      <c r="H13" s="102"/>
      <c r="I13" s="95">
        <f t="shared" si="0"/>
        <v>554</v>
      </c>
      <c r="J13" s="103">
        <v>0.88800000000000001</v>
      </c>
      <c r="K13" s="97">
        <f>I13*J13*1.8</f>
        <v>885.5136</v>
      </c>
      <c r="L13" s="230"/>
      <c r="M13" s="98"/>
      <c r="N13" s="100"/>
      <c r="O13" s="100"/>
      <c r="P13" s="100"/>
    </row>
    <row r="14" spans="1:21" ht="54.75" customHeight="1" x14ac:dyDescent="0.15">
      <c r="A14" s="3">
        <v>9</v>
      </c>
      <c r="B14" s="93" t="s">
        <v>150</v>
      </c>
      <c r="C14" s="104"/>
      <c r="D14" s="9" t="s">
        <v>88</v>
      </c>
      <c r="E14" s="38" t="s">
        <v>89</v>
      </c>
      <c r="F14" s="52" t="s">
        <v>17</v>
      </c>
      <c r="G14" s="105">
        <f>G10*2</f>
        <v>3396</v>
      </c>
      <c r="H14" s="95">
        <f>G14*0.003</f>
        <v>10.188000000000001</v>
      </c>
      <c r="I14" s="95">
        <f t="shared" si="0"/>
        <v>3406.1880000000001</v>
      </c>
      <c r="J14" s="106">
        <v>6.8000000000000005E-2</v>
      </c>
      <c r="K14" s="97">
        <f>5600*I14*J14/1000</f>
        <v>1297.0763904</v>
      </c>
      <c r="L14" s="16" t="s">
        <v>272</v>
      </c>
      <c r="M14" s="98"/>
      <c r="N14" s="100"/>
      <c r="O14" s="100"/>
      <c r="P14" s="100"/>
    </row>
    <row r="15" spans="1:21" ht="54.75" customHeight="1" x14ac:dyDescent="0.15">
      <c r="A15" s="3">
        <v>10</v>
      </c>
      <c r="B15" s="93" t="s">
        <v>310</v>
      </c>
      <c r="C15" s="104"/>
      <c r="D15" s="9" t="s">
        <v>235</v>
      </c>
      <c r="E15" s="38"/>
      <c r="F15" s="52" t="s">
        <v>17</v>
      </c>
      <c r="G15" s="105">
        <f>(G7+G6*2)*4</f>
        <v>1248</v>
      </c>
      <c r="H15" s="95">
        <v>2</v>
      </c>
      <c r="I15" s="95">
        <f t="shared" ref="I15" si="3">H15+G15</f>
        <v>1250</v>
      </c>
      <c r="J15" s="106">
        <f>1.48+0.104</f>
        <v>1.5840000000000001</v>
      </c>
      <c r="K15" s="97">
        <f>5600*I15*J15/1000</f>
        <v>11088</v>
      </c>
      <c r="L15" s="16"/>
      <c r="M15" s="98"/>
      <c r="N15" s="100"/>
      <c r="O15" s="100"/>
      <c r="P15" s="100"/>
    </row>
    <row r="16" spans="1:21" ht="54.75" customHeight="1" x14ac:dyDescent="0.15">
      <c r="A16" s="3">
        <v>11</v>
      </c>
      <c r="B16" s="93" t="s">
        <v>304</v>
      </c>
      <c r="C16" s="104"/>
      <c r="D16" s="9" t="s">
        <v>303</v>
      </c>
      <c r="E16" s="38"/>
      <c r="F16" s="52" t="s">
        <v>308</v>
      </c>
      <c r="G16" s="105">
        <f>(0.7*0.7*0.3+0.35*0.35*0.2)*(G6*2+G7)</f>
        <v>53.507999999999988</v>
      </c>
      <c r="H16" s="95">
        <f>G16*0.003</f>
        <v>0.16052399999999997</v>
      </c>
      <c r="I16" s="95">
        <f t="shared" ref="I16" si="4">H16+G16</f>
        <v>53.668523999999991</v>
      </c>
      <c r="J16" s="106">
        <v>0</v>
      </c>
      <c r="K16" s="97">
        <f>5600*I16*J16/1000</f>
        <v>0</v>
      </c>
      <c r="L16" s="16"/>
      <c r="M16" s="98"/>
      <c r="N16" s="100"/>
      <c r="O16" s="100"/>
      <c r="P16" s="100"/>
    </row>
    <row r="17" spans="1:17" ht="54.75" customHeight="1" x14ac:dyDescent="0.15">
      <c r="A17" s="3">
        <v>11</v>
      </c>
      <c r="B17" s="93" t="s">
        <v>305</v>
      </c>
      <c r="C17" s="104"/>
      <c r="D17" s="9" t="s">
        <v>309</v>
      </c>
      <c r="E17" s="38"/>
      <c r="F17" s="52" t="s">
        <v>308</v>
      </c>
      <c r="G17" s="105">
        <f>(0.35*0.35*0.15+0.9*0.9*0.1)*(G6*2+G7)</f>
        <v>31.005000000000006</v>
      </c>
      <c r="H17" s="95">
        <f>G17*0.003</f>
        <v>9.3015000000000014E-2</v>
      </c>
      <c r="I17" s="95">
        <f t="shared" ref="I17" si="5">H17+G17</f>
        <v>31.098015000000007</v>
      </c>
      <c r="J17" s="106">
        <v>0</v>
      </c>
      <c r="K17" s="97">
        <f>5600*I17*J17/1000</f>
        <v>0</v>
      </c>
      <c r="L17" s="16"/>
      <c r="M17" s="98"/>
      <c r="N17" s="100"/>
      <c r="O17" s="100"/>
      <c r="P17" s="100"/>
    </row>
    <row r="18" spans="1:17" ht="54.75" customHeight="1" x14ac:dyDescent="0.15">
      <c r="A18" s="3">
        <v>12</v>
      </c>
      <c r="B18" s="93" t="s">
        <v>300</v>
      </c>
      <c r="C18" s="104"/>
      <c r="D18" s="9" t="s">
        <v>306</v>
      </c>
      <c r="E18" s="38"/>
      <c r="F18" s="52" t="s">
        <v>307</v>
      </c>
      <c r="G18" s="105">
        <f>(0.35*6)*(G6*2+G7)*6</f>
        <v>3931.2</v>
      </c>
      <c r="H18" s="95">
        <v>2</v>
      </c>
      <c r="I18" s="95">
        <f t="shared" ref="I18" si="6">H18+G18</f>
        <v>3933.2</v>
      </c>
      <c r="J18" s="106">
        <v>0.39500000000000002</v>
      </c>
      <c r="K18" s="97">
        <f>I18*J18</f>
        <v>1553.614</v>
      </c>
      <c r="L18" s="16"/>
      <c r="M18" s="98"/>
      <c r="N18" s="100"/>
      <c r="O18" s="100"/>
      <c r="P18" s="100"/>
    </row>
    <row r="19" spans="1:17" ht="54.75" customHeight="1" x14ac:dyDescent="0.15">
      <c r="A19" s="3">
        <v>13</v>
      </c>
      <c r="B19" s="93" t="s">
        <v>301</v>
      </c>
      <c r="C19" s="104"/>
      <c r="D19" s="9" t="s">
        <v>306</v>
      </c>
      <c r="E19" s="38"/>
      <c r="F19" s="52" t="s">
        <v>307</v>
      </c>
      <c r="G19" s="105">
        <f>(0.7*5*2)*(G6*2+G7)</f>
        <v>2184</v>
      </c>
      <c r="H19" s="95">
        <v>2</v>
      </c>
      <c r="I19" s="95">
        <f t="shared" ref="I19" si="7">H19+G19</f>
        <v>2186</v>
      </c>
      <c r="J19" s="106">
        <v>0.88800000000000001</v>
      </c>
      <c r="K19" s="97">
        <f>5600*I19*J19/1000</f>
        <v>10870.540800000001</v>
      </c>
      <c r="L19" s="16"/>
      <c r="M19" s="98"/>
      <c r="N19" s="100"/>
      <c r="O19" s="100"/>
      <c r="P19" s="100"/>
    </row>
    <row r="20" spans="1:17" ht="54.75" customHeight="1" x14ac:dyDescent="0.15">
      <c r="A20" s="3">
        <v>13</v>
      </c>
      <c r="B20" s="93" t="s">
        <v>302</v>
      </c>
      <c r="C20" s="104"/>
      <c r="D20" s="9" t="s">
        <v>306</v>
      </c>
      <c r="E20" s="38"/>
      <c r="F20" s="52" t="s">
        <v>307</v>
      </c>
      <c r="G20" s="105">
        <f>(0.35+0.15+0.5)*(G6*2+G7)</f>
        <v>312</v>
      </c>
      <c r="H20" s="95">
        <v>0</v>
      </c>
      <c r="I20" s="95">
        <f t="shared" ref="I20" si="8">H20+G20</f>
        <v>312</v>
      </c>
      <c r="J20" s="106">
        <v>1.579</v>
      </c>
      <c r="K20" s="97">
        <f>5600*I20*J20/1000</f>
        <v>2758.8287999999998</v>
      </c>
      <c r="L20" s="16"/>
      <c r="M20" s="98"/>
      <c r="N20" s="100"/>
      <c r="O20" s="100"/>
      <c r="P20" s="100"/>
    </row>
    <row r="21" spans="1:17" ht="15" x14ac:dyDescent="0.15">
      <c r="A21" s="3"/>
      <c r="B21" s="231" t="s">
        <v>23</v>
      </c>
      <c r="C21" s="232"/>
      <c r="D21" s="232"/>
      <c r="E21" s="232"/>
      <c r="F21" s="232"/>
      <c r="G21" s="232"/>
      <c r="H21" s="232"/>
      <c r="I21" s="232"/>
      <c r="J21" s="233"/>
      <c r="K21" s="97">
        <f>SUM(K6:K20)</f>
        <v>105272.8777304</v>
      </c>
      <c r="L21" s="16" t="s">
        <v>96</v>
      </c>
      <c r="M21" s="17"/>
      <c r="N21" s="98"/>
      <c r="O21" s="100">
        <f>K21/P21</f>
        <v>95.378329797234855</v>
      </c>
      <c r="P21" s="100">
        <v>1103.74</v>
      </c>
      <c r="Q21" s="100"/>
    </row>
    <row r="22" spans="1:17" ht="14.25" x14ac:dyDescent="0.15">
      <c r="A22" s="3" t="s">
        <v>97</v>
      </c>
      <c r="B22" s="111" t="s">
        <v>98</v>
      </c>
      <c r="C22" s="9"/>
      <c r="D22" s="9"/>
      <c r="E22" s="38"/>
      <c r="F22" s="52"/>
      <c r="G22" s="5"/>
      <c r="H22" s="112"/>
      <c r="I22" s="5"/>
      <c r="J22" s="9"/>
      <c r="K22" s="113"/>
      <c r="L22" s="16"/>
      <c r="M22" s="17"/>
      <c r="N22" s="98"/>
      <c r="O22" s="114"/>
      <c r="P22" s="114"/>
      <c r="Q22" s="114"/>
    </row>
    <row r="23" spans="1:17" ht="15" x14ac:dyDescent="0.15">
      <c r="A23" s="3">
        <v>1</v>
      </c>
      <c r="B23" s="93" t="s">
        <v>99</v>
      </c>
      <c r="C23" s="9">
        <v>60</v>
      </c>
      <c r="D23" s="9" t="s">
        <v>100</v>
      </c>
      <c r="E23" s="38" t="s">
        <v>101</v>
      </c>
      <c r="F23" s="110" t="s">
        <v>15</v>
      </c>
      <c r="G23" s="95">
        <f>5*(17-1)*2+5*(17-1)*2+5*(28-1)*2+5*(28-1)*2+15*(29-1)*2+10*(30-1)*2+10*(31-1)*2+10*(32-1)*2+10*(33-1)*2+2*(26-1)*2</f>
        <v>4240</v>
      </c>
      <c r="H23" s="115">
        <f>0.003*G23</f>
        <v>12.72</v>
      </c>
      <c r="I23" s="95">
        <f t="shared" ref="I23:I28" si="9">H23+G23</f>
        <v>4252.72</v>
      </c>
      <c r="J23" s="116">
        <v>5.7000000000000002E-2</v>
      </c>
      <c r="K23" s="117">
        <f t="shared" ref="K23:K27" si="10">I23*J23</f>
        <v>242.40504000000001</v>
      </c>
      <c r="L23" s="118"/>
      <c r="M23" s="178"/>
      <c r="N23" s="98"/>
      <c r="O23" s="100"/>
      <c r="P23" s="100"/>
      <c r="Q23" s="100"/>
    </row>
    <row r="24" spans="1:17" ht="15" x14ac:dyDescent="0.15">
      <c r="A24" s="3">
        <v>2</v>
      </c>
      <c r="B24" s="93" t="s">
        <v>102</v>
      </c>
      <c r="C24" s="119">
        <v>60</v>
      </c>
      <c r="D24" s="9" t="s">
        <v>100</v>
      </c>
      <c r="E24" s="38" t="s">
        <v>101</v>
      </c>
      <c r="F24" s="110" t="s">
        <v>15</v>
      </c>
      <c r="G24" s="95">
        <f>144*2</f>
        <v>288</v>
      </c>
      <c r="H24" s="95">
        <v>5</v>
      </c>
      <c r="I24" s="95">
        <f t="shared" si="9"/>
        <v>293</v>
      </c>
      <c r="J24" s="116">
        <v>4.8000000000000001E-2</v>
      </c>
      <c r="K24" s="117">
        <f t="shared" si="10"/>
        <v>14.064</v>
      </c>
      <c r="L24" s="118"/>
      <c r="M24" s="178"/>
      <c r="N24" s="92">
        <v>8</v>
      </c>
      <c r="O24" s="92">
        <f>472-8</f>
        <v>464</v>
      </c>
      <c r="P24" s="100">
        <f>(O24+N24)/4</f>
        <v>118</v>
      </c>
      <c r="Q24" s="100"/>
    </row>
    <row r="25" spans="1:17" ht="15" x14ac:dyDescent="0.15">
      <c r="A25" s="3">
        <v>3</v>
      </c>
      <c r="B25" s="93" t="s">
        <v>275</v>
      </c>
      <c r="C25" s="94" t="s">
        <v>106</v>
      </c>
      <c r="D25" s="9" t="s">
        <v>100</v>
      </c>
      <c r="E25" s="38" t="s">
        <v>101</v>
      </c>
      <c r="F25" s="110" t="s">
        <v>15</v>
      </c>
      <c r="G25" s="95">
        <f>G23+G24</f>
        <v>4528</v>
      </c>
      <c r="H25" s="95">
        <v>20</v>
      </c>
      <c r="I25" s="95">
        <f t="shared" si="9"/>
        <v>4548</v>
      </c>
      <c r="J25" s="116">
        <v>0.02</v>
      </c>
      <c r="K25" s="120">
        <f t="shared" si="10"/>
        <v>90.960000000000008</v>
      </c>
      <c r="L25" s="16"/>
      <c r="M25" s="17"/>
      <c r="N25" s="92">
        <v>6</v>
      </c>
      <c r="O25" s="92">
        <f>336-6</f>
        <v>330</v>
      </c>
      <c r="P25" s="100">
        <f>(O25+N25)/3</f>
        <v>112</v>
      </c>
      <c r="Q25" s="100"/>
    </row>
    <row r="26" spans="1:17" ht="15" x14ac:dyDescent="0.15">
      <c r="A26" s="3">
        <v>4</v>
      </c>
      <c r="B26" s="93" t="s">
        <v>274</v>
      </c>
      <c r="C26" s="94" t="s">
        <v>108</v>
      </c>
      <c r="D26" s="94" t="s">
        <v>20</v>
      </c>
      <c r="E26" s="94"/>
      <c r="F26" s="38" t="s">
        <v>17</v>
      </c>
      <c r="G26" s="95">
        <f>G23+G24</f>
        <v>4528</v>
      </c>
      <c r="H26" s="95">
        <v>20</v>
      </c>
      <c r="I26" s="95">
        <f t="shared" si="9"/>
        <v>4548</v>
      </c>
      <c r="J26" s="121">
        <v>0.02</v>
      </c>
      <c r="K26" s="122">
        <f t="shared" si="10"/>
        <v>90.960000000000008</v>
      </c>
      <c r="L26" s="16"/>
      <c r="M26" s="17"/>
      <c r="N26" s="92">
        <v>6</v>
      </c>
      <c r="O26" s="92">
        <f>336-6</f>
        <v>330</v>
      </c>
      <c r="P26" s="100">
        <f>(O26+N26)/3</f>
        <v>112</v>
      </c>
      <c r="Q26" s="100"/>
    </row>
    <row r="27" spans="1:17" ht="15" x14ac:dyDescent="0.15">
      <c r="A27" s="3">
        <v>5</v>
      </c>
      <c r="B27" s="93" t="s">
        <v>276</v>
      </c>
      <c r="C27" s="94" t="s">
        <v>279</v>
      </c>
      <c r="D27" s="94" t="s">
        <v>111</v>
      </c>
      <c r="E27" s="94"/>
      <c r="F27" s="109" t="s">
        <v>15</v>
      </c>
      <c r="G27" s="95">
        <f>G26*4</f>
        <v>18112</v>
      </c>
      <c r="H27" s="95">
        <v>100</v>
      </c>
      <c r="I27" s="95">
        <f t="shared" si="9"/>
        <v>18212</v>
      </c>
      <c r="J27" s="123">
        <v>5.0000000000000001E-3</v>
      </c>
      <c r="K27" s="122">
        <f t="shared" si="10"/>
        <v>91.06</v>
      </c>
      <c r="L27" s="16"/>
      <c r="M27" s="17"/>
      <c r="N27" s="92">
        <v>6</v>
      </c>
      <c r="O27" s="92">
        <f>336-6</f>
        <v>330</v>
      </c>
      <c r="P27" s="100">
        <f>(O27+N27)/3</f>
        <v>112</v>
      </c>
      <c r="Q27" s="100"/>
    </row>
    <row r="28" spans="1:17" ht="27" x14ac:dyDescent="0.15">
      <c r="A28" s="3">
        <v>6</v>
      </c>
      <c r="B28" s="93" t="s">
        <v>277</v>
      </c>
      <c r="C28" s="109">
        <v>2350</v>
      </c>
      <c r="D28" s="94" t="s">
        <v>278</v>
      </c>
      <c r="E28" s="94" t="s">
        <v>114</v>
      </c>
      <c r="F28" s="38" t="s">
        <v>280</v>
      </c>
      <c r="G28" s="95">
        <v>27</v>
      </c>
      <c r="H28" s="95">
        <v>0</v>
      </c>
      <c r="I28" s="95">
        <f t="shared" si="9"/>
        <v>27</v>
      </c>
      <c r="J28" s="94">
        <v>1.8</v>
      </c>
      <c r="K28" s="122">
        <f>I28*J28*C28/1000</f>
        <v>114.21</v>
      </c>
      <c r="L28" s="16"/>
      <c r="M28" s="17"/>
      <c r="N28" s="98"/>
      <c r="O28" s="100"/>
      <c r="P28" s="100"/>
      <c r="Q28" s="100"/>
    </row>
    <row r="29" spans="1:17" ht="27" x14ac:dyDescent="0.15">
      <c r="A29" s="3">
        <v>7</v>
      </c>
      <c r="B29" s="93" t="s">
        <v>277</v>
      </c>
      <c r="C29" s="109">
        <v>5700</v>
      </c>
      <c r="D29" s="94" t="s">
        <v>278</v>
      </c>
      <c r="E29" s="94" t="s">
        <v>114</v>
      </c>
      <c r="F29" s="38" t="s">
        <v>280</v>
      </c>
      <c r="G29" s="95">
        <f>(17+1)+(17+1)+(17+1)+(28+1)*2+(29+1)*3+(30+1)*2+(31+1)*2+(32+1)*2+(33+1)</f>
        <v>428</v>
      </c>
      <c r="H29" s="95">
        <v>0</v>
      </c>
      <c r="I29" s="95">
        <f t="shared" ref="I29:I30" si="11">H29+G29</f>
        <v>428</v>
      </c>
      <c r="J29" s="94">
        <v>1.8</v>
      </c>
      <c r="K29" s="122">
        <f>I29*J29*C29/1000</f>
        <v>4391.28</v>
      </c>
      <c r="L29" s="16"/>
      <c r="M29" s="17"/>
      <c r="N29" s="98"/>
      <c r="O29" s="100"/>
      <c r="P29" s="100"/>
      <c r="Q29" s="100"/>
    </row>
    <row r="30" spans="1:17" ht="27" x14ac:dyDescent="0.15">
      <c r="A30" s="3">
        <v>8</v>
      </c>
      <c r="B30" s="93" t="s">
        <v>291</v>
      </c>
      <c r="C30" s="94" t="s">
        <v>279</v>
      </c>
      <c r="D30" s="94" t="s">
        <v>111</v>
      </c>
      <c r="E30" s="113"/>
      <c r="F30" s="109" t="s">
        <v>15</v>
      </c>
      <c r="G30" s="95">
        <f>(G28*6+G29*6)*4</f>
        <v>10920</v>
      </c>
      <c r="H30" s="95">
        <v>5</v>
      </c>
      <c r="I30" s="95">
        <f t="shared" si="11"/>
        <v>10925</v>
      </c>
      <c r="J30" s="113">
        <v>5.0000000000000001E-3</v>
      </c>
      <c r="K30" s="122">
        <f t="shared" ref="K30" si="12">J30*I30</f>
        <v>54.625</v>
      </c>
      <c r="L30" s="16" t="s">
        <v>290</v>
      </c>
      <c r="M30" s="17"/>
    </row>
    <row r="31" spans="1:17" ht="15" x14ac:dyDescent="0.15">
      <c r="A31" s="3">
        <v>9</v>
      </c>
      <c r="B31" s="93" t="s">
        <v>281</v>
      </c>
      <c r="C31" s="124">
        <v>2390</v>
      </c>
      <c r="D31" s="94" t="s">
        <v>282</v>
      </c>
      <c r="E31" s="94" t="s">
        <v>114</v>
      </c>
      <c r="F31" s="38" t="s">
        <v>280</v>
      </c>
      <c r="G31" s="95">
        <f>17*4+17*4+28*4+28*4+29*4*3+30*4*2+31*4*2+32*4*2+33*4+26*1</f>
        <v>1610</v>
      </c>
      <c r="H31" s="95">
        <v>3</v>
      </c>
      <c r="I31" s="95">
        <f t="shared" ref="I31" si="13">H31+G31</f>
        <v>1613</v>
      </c>
      <c r="J31" s="125">
        <v>0.9</v>
      </c>
      <c r="K31" s="122">
        <f>I31*J31</f>
        <v>1451.7</v>
      </c>
      <c r="L31" s="16"/>
      <c r="M31" s="17"/>
      <c r="N31" s="98"/>
      <c r="O31" s="100"/>
      <c r="P31" s="100"/>
      <c r="Q31" s="100"/>
    </row>
    <row r="32" spans="1:17" ht="15" x14ac:dyDescent="0.15">
      <c r="A32" s="3">
        <v>10</v>
      </c>
      <c r="B32" s="93" t="s">
        <v>283</v>
      </c>
      <c r="C32" s="38">
        <f>(42790+27730+2510+15180)</f>
        <v>88210</v>
      </c>
      <c r="D32" s="94" t="s">
        <v>285</v>
      </c>
      <c r="E32" s="94" t="s">
        <v>114</v>
      </c>
      <c r="F32" s="38" t="s">
        <v>122</v>
      </c>
      <c r="G32" s="95">
        <v>1</v>
      </c>
      <c r="H32" s="95"/>
      <c r="I32" s="95">
        <v>1</v>
      </c>
      <c r="J32" s="125">
        <v>5.3</v>
      </c>
      <c r="K32" s="122">
        <f>J32*C32/1000</f>
        <v>467.51299999999998</v>
      </c>
      <c r="L32" s="16"/>
      <c r="M32" s="17"/>
      <c r="N32" s="92">
        <v>6</v>
      </c>
      <c r="O32" s="92">
        <f t="shared" ref="O32:O35" si="14">336-6</f>
        <v>330</v>
      </c>
      <c r="P32" s="100">
        <f t="shared" ref="P32:P35" si="15">(O32+N32)/3</f>
        <v>112</v>
      </c>
      <c r="Q32" s="100"/>
    </row>
    <row r="33" spans="1:17" ht="15" x14ac:dyDescent="0.15">
      <c r="A33" s="3">
        <v>11</v>
      </c>
      <c r="B33" s="93" t="s">
        <v>284</v>
      </c>
      <c r="C33" s="38">
        <f>42670+70400+72910+75410+77930+80440+67770</f>
        <v>487530</v>
      </c>
      <c r="D33" s="94" t="s">
        <v>286</v>
      </c>
      <c r="E33" s="94" t="s">
        <v>114</v>
      </c>
      <c r="F33" s="38" t="s">
        <v>122</v>
      </c>
      <c r="G33" s="95">
        <v>1</v>
      </c>
      <c r="H33" s="95"/>
      <c r="I33" s="95">
        <v>1</v>
      </c>
      <c r="J33" s="125">
        <v>6</v>
      </c>
      <c r="K33" s="122">
        <f>J33*C33/1000</f>
        <v>2925.18</v>
      </c>
      <c r="L33" s="16"/>
      <c r="M33" s="17"/>
      <c r="N33" s="92">
        <v>6</v>
      </c>
      <c r="O33" s="92">
        <f t="shared" si="14"/>
        <v>330</v>
      </c>
      <c r="P33" s="100">
        <f t="shared" si="15"/>
        <v>112</v>
      </c>
      <c r="Q33" s="100"/>
    </row>
    <row r="34" spans="1:17" ht="15" x14ac:dyDescent="0.15">
      <c r="A34" s="3">
        <v>12</v>
      </c>
      <c r="B34" s="93" t="s">
        <v>287</v>
      </c>
      <c r="C34" s="38">
        <v>550</v>
      </c>
      <c r="D34" s="94" t="s">
        <v>82</v>
      </c>
      <c r="E34" s="94" t="s">
        <v>24</v>
      </c>
      <c r="F34" s="38" t="s">
        <v>15</v>
      </c>
      <c r="G34" s="95">
        <f>C32/7530</f>
        <v>11.714475431606905</v>
      </c>
      <c r="H34" s="95">
        <v>5</v>
      </c>
      <c r="I34" s="95">
        <f t="shared" ref="I34:I36" si="16">H34+G34</f>
        <v>16.714475431606907</v>
      </c>
      <c r="J34" s="125">
        <v>3.77</v>
      </c>
      <c r="K34" s="38">
        <f>J34*I34</f>
        <v>63.013572377158042</v>
      </c>
      <c r="L34" s="16"/>
      <c r="M34" s="17"/>
      <c r="N34" s="92">
        <v>6</v>
      </c>
      <c r="O34" s="92">
        <f t="shared" si="14"/>
        <v>330</v>
      </c>
      <c r="P34" s="100">
        <f t="shared" si="15"/>
        <v>112</v>
      </c>
      <c r="Q34" s="100"/>
    </row>
    <row r="35" spans="1:17" ht="15" x14ac:dyDescent="0.15">
      <c r="A35" s="3">
        <v>13</v>
      </c>
      <c r="B35" s="93" t="s">
        <v>288</v>
      </c>
      <c r="C35" s="38">
        <v>490</v>
      </c>
      <c r="D35" s="94" t="s">
        <v>82</v>
      </c>
      <c r="E35" s="94" t="s">
        <v>24</v>
      </c>
      <c r="F35" s="38" t="s">
        <v>15</v>
      </c>
      <c r="G35" s="95">
        <f>C33/7530</f>
        <v>64.745019920318725</v>
      </c>
      <c r="H35" s="95">
        <v>5</v>
      </c>
      <c r="I35" s="95">
        <f t="shared" si="16"/>
        <v>69.745019920318725</v>
      </c>
      <c r="J35" s="125">
        <v>3.77</v>
      </c>
      <c r="K35" s="38">
        <f>J35*I35</f>
        <v>262.93872509960158</v>
      </c>
      <c r="L35" s="16"/>
      <c r="M35" s="17"/>
      <c r="N35" s="92">
        <v>6</v>
      </c>
      <c r="O35" s="92">
        <f t="shared" si="14"/>
        <v>330</v>
      </c>
      <c r="P35" s="100">
        <f t="shared" si="15"/>
        <v>112</v>
      </c>
      <c r="Q35" s="100"/>
    </row>
    <row r="36" spans="1:17" ht="27" x14ac:dyDescent="0.15">
      <c r="A36" s="3">
        <v>14</v>
      </c>
      <c r="B36" s="93" t="s">
        <v>289</v>
      </c>
      <c r="C36" s="94" t="s">
        <v>279</v>
      </c>
      <c r="D36" s="94" t="s">
        <v>111</v>
      </c>
      <c r="E36" s="113"/>
      <c r="F36" s="109" t="s">
        <v>15</v>
      </c>
      <c r="G36" s="95">
        <f>I34*2+I35*2</f>
        <v>172.91899070385125</v>
      </c>
      <c r="H36" s="95">
        <v>2</v>
      </c>
      <c r="I36" s="95">
        <f t="shared" si="16"/>
        <v>174.91899070385125</v>
      </c>
      <c r="J36" s="113">
        <v>5.0000000000000001E-3</v>
      </c>
      <c r="K36" s="122">
        <f t="shared" ref="K36" si="17">J36*I36</f>
        <v>0.87459495351925631</v>
      </c>
      <c r="L36" s="16" t="s">
        <v>290</v>
      </c>
      <c r="M36" s="17"/>
    </row>
    <row r="37" spans="1:17" ht="15" x14ac:dyDescent="0.15">
      <c r="A37" s="3">
        <v>15</v>
      </c>
      <c r="B37" s="93" t="s">
        <v>292</v>
      </c>
      <c r="C37" s="94">
        <v>5700</v>
      </c>
      <c r="D37" s="94" t="s">
        <v>293</v>
      </c>
      <c r="E37" s="113"/>
      <c r="F37" s="109" t="s">
        <v>280</v>
      </c>
      <c r="G37" s="95">
        <v>26</v>
      </c>
      <c r="H37" s="95">
        <v>2</v>
      </c>
      <c r="I37" s="95">
        <f t="shared" ref="I37" si="18">H37+G37</f>
        <v>28</v>
      </c>
      <c r="J37" s="113">
        <v>0.628</v>
      </c>
      <c r="K37" s="122">
        <f>J37*I37*C37/1000</f>
        <v>100.22880000000001</v>
      </c>
      <c r="L37" s="16"/>
      <c r="M37" s="17"/>
    </row>
    <row r="38" spans="1:17" ht="15" x14ac:dyDescent="0.15">
      <c r="A38" s="3">
        <v>16</v>
      </c>
      <c r="B38" s="93" t="s">
        <v>292</v>
      </c>
      <c r="C38" s="94">
        <v>2350</v>
      </c>
      <c r="D38" s="94" t="s">
        <v>293</v>
      </c>
      <c r="E38" s="113"/>
      <c r="F38" s="109" t="s">
        <v>280</v>
      </c>
      <c r="G38" s="95">
        <f>(17*4+17*4+28*4+28*4+29*4*3+30*4*2+31*4*2+32*4*2+33*4)/4</f>
        <v>396</v>
      </c>
      <c r="H38" s="95">
        <v>2</v>
      </c>
      <c r="I38" s="95">
        <f t="shared" ref="I38" si="19">H38+G38</f>
        <v>398</v>
      </c>
      <c r="J38" s="113">
        <v>0.628</v>
      </c>
      <c r="K38" s="122">
        <f>J38*I38*C38/1000</f>
        <v>587.36840000000007</v>
      </c>
      <c r="L38" s="16"/>
      <c r="M38" s="17"/>
    </row>
    <row r="39" spans="1:17" ht="15" x14ac:dyDescent="0.15">
      <c r="A39" s="3">
        <v>17</v>
      </c>
      <c r="B39" s="93" t="s">
        <v>295</v>
      </c>
      <c r="C39" s="94">
        <v>2300</v>
      </c>
      <c r="D39" s="94" t="s">
        <v>294</v>
      </c>
      <c r="E39" s="113"/>
      <c r="F39" s="109" t="s">
        <v>280</v>
      </c>
      <c r="G39" s="95">
        <v>27</v>
      </c>
      <c r="H39" s="95">
        <v>2</v>
      </c>
      <c r="I39" s="95">
        <f t="shared" ref="I39" si="20">H39+G39</f>
        <v>29</v>
      </c>
      <c r="J39" s="113"/>
      <c r="K39" s="122">
        <f t="shared" ref="K39" si="21">J39*I39</f>
        <v>0</v>
      </c>
      <c r="L39" s="16"/>
      <c r="M39" s="17"/>
    </row>
    <row r="40" spans="1:17" ht="15" x14ac:dyDescent="0.15">
      <c r="A40" s="3">
        <v>18</v>
      </c>
      <c r="B40" s="93" t="s">
        <v>295</v>
      </c>
      <c r="C40" s="94">
        <v>5690</v>
      </c>
      <c r="D40" s="94" t="s">
        <v>294</v>
      </c>
      <c r="E40" s="113"/>
      <c r="F40" s="109" t="s">
        <v>280</v>
      </c>
      <c r="G40" s="95">
        <v>428</v>
      </c>
      <c r="H40" s="95">
        <v>2</v>
      </c>
      <c r="I40" s="95">
        <f t="shared" ref="I40" si="22">H40+G40</f>
        <v>430</v>
      </c>
      <c r="J40" s="113"/>
      <c r="K40" s="122">
        <f t="shared" ref="K40" si="23">J40*I40</f>
        <v>0</v>
      </c>
      <c r="L40" s="16"/>
      <c r="M40" s="17"/>
    </row>
    <row r="41" spans="1:17" ht="15" x14ac:dyDescent="0.15">
      <c r="A41" s="3">
        <v>19</v>
      </c>
      <c r="B41" s="93" t="s">
        <v>296</v>
      </c>
      <c r="C41" s="94">
        <v>2465</v>
      </c>
      <c r="D41" s="94" t="s">
        <v>297</v>
      </c>
      <c r="E41" s="113"/>
      <c r="F41" s="109" t="s">
        <v>280</v>
      </c>
      <c r="G41" s="95">
        <v>381</v>
      </c>
      <c r="H41" s="95">
        <v>2</v>
      </c>
      <c r="I41" s="95">
        <f t="shared" ref="I41" si="24">H41+G41</f>
        <v>383</v>
      </c>
      <c r="J41" s="113"/>
      <c r="K41" s="122">
        <f t="shared" ref="K41" si="25">J41*I41</f>
        <v>0</v>
      </c>
      <c r="L41" s="16"/>
      <c r="M41" s="17"/>
    </row>
    <row r="42" spans="1:17" ht="15" x14ac:dyDescent="0.15">
      <c r="A42" s="3">
        <v>20</v>
      </c>
      <c r="B42" s="93" t="s">
        <v>298</v>
      </c>
      <c r="C42" s="94">
        <v>3000</v>
      </c>
      <c r="D42" s="94" t="s">
        <v>299</v>
      </c>
      <c r="E42" s="113"/>
      <c r="F42" s="109" t="s">
        <v>280</v>
      </c>
      <c r="G42" s="95">
        <v>126</v>
      </c>
      <c r="H42" s="95">
        <v>1</v>
      </c>
      <c r="I42" s="95">
        <f t="shared" ref="I42" si="26">H42+G42</f>
        <v>127</v>
      </c>
      <c r="J42" s="113"/>
      <c r="K42" s="122">
        <f t="shared" ref="K42" si="27">J42*I42</f>
        <v>0</v>
      </c>
      <c r="L42" s="16"/>
      <c r="M42" s="17"/>
    </row>
    <row r="43" spans="1:17" x14ac:dyDescent="0.15">
      <c r="A43" s="8"/>
      <c r="B43" s="128"/>
      <c r="C43" s="129"/>
      <c r="D43" s="129"/>
      <c r="E43" s="129"/>
      <c r="F43" s="129"/>
      <c r="G43" s="129"/>
      <c r="H43" s="129"/>
      <c r="I43" s="129"/>
      <c r="J43" s="129" t="s">
        <v>23</v>
      </c>
      <c r="K43" s="179">
        <f>SUM(K23:K41)</f>
        <v>10948.381132430279</v>
      </c>
      <c r="L43" s="130" t="s">
        <v>96</v>
      </c>
    </row>
    <row r="44" spans="1:17" x14ac:dyDescent="0.15">
      <c r="A44" s="8" t="s">
        <v>27</v>
      </c>
      <c r="B44" s="236" t="s">
        <v>155</v>
      </c>
      <c r="C44" s="237"/>
      <c r="D44" s="237"/>
      <c r="E44" s="237"/>
      <c r="F44" s="237"/>
      <c r="G44" s="237"/>
      <c r="H44" s="237"/>
      <c r="I44" s="237"/>
      <c r="J44" s="237"/>
      <c r="K44" s="237"/>
      <c r="L44" s="238"/>
    </row>
    <row r="45" spans="1:17" x14ac:dyDescent="0.15">
      <c r="A45" s="8"/>
      <c r="B45" s="239"/>
      <c r="C45" s="240"/>
      <c r="D45" s="240"/>
      <c r="E45" s="240"/>
      <c r="F45" s="240"/>
      <c r="G45" s="240"/>
      <c r="H45" s="240"/>
      <c r="I45" s="240"/>
      <c r="J45" s="240"/>
      <c r="K45" s="240"/>
      <c r="L45" s="241"/>
    </row>
    <row r="46" spans="1:17" x14ac:dyDescent="0.15">
      <c r="A46" s="53"/>
      <c r="B46" s="239"/>
      <c r="C46" s="240"/>
      <c r="D46" s="240"/>
      <c r="E46" s="240"/>
      <c r="F46" s="240"/>
      <c r="G46" s="240"/>
      <c r="H46" s="240"/>
      <c r="I46" s="240"/>
      <c r="J46" s="240"/>
      <c r="K46" s="240"/>
      <c r="L46" s="241"/>
    </row>
    <row r="47" spans="1:17" x14ac:dyDescent="0.15">
      <c r="A47" s="9"/>
      <c r="B47" s="239"/>
      <c r="C47" s="240"/>
      <c r="D47" s="240"/>
      <c r="E47" s="240"/>
      <c r="F47" s="240"/>
      <c r="G47" s="240"/>
      <c r="H47" s="240"/>
      <c r="I47" s="240"/>
      <c r="J47" s="240"/>
      <c r="K47" s="240"/>
      <c r="L47" s="241"/>
    </row>
    <row r="48" spans="1:17" x14ac:dyDescent="0.15">
      <c r="A48" s="9"/>
      <c r="B48" s="239"/>
      <c r="C48" s="240"/>
      <c r="D48" s="240"/>
      <c r="E48" s="240"/>
      <c r="F48" s="240"/>
      <c r="G48" s="240"/>
      <c r="H48" s="240"/>
      <c r="I48" s="240"/>
      <c r="J48" s="240"/>
      <c r="K48" s="240"/>
      <c r="L48" s="241"/>
    </row>
    <row r="49" spans="1:12" ht="27" customHeight="1" x14ac:dyDescent="0.15">
      <c r="A49" s="9"/>
      <c r="B49" s="242"/>
      <c r="C49" s="243"/>
      <c r="D49" s="243"/>
      <c r="E49" s="243"/>
      <c r="F49" s="243"/>
      <c r="G49" s="243"/>
      <c r="H49" s="243"/>
      <c r="I49" s="243"/>
      <c r="J49" s="243"/>
      <c r="K49" s="243"/>
      <c r="L49" s="244"/>
    </row>
    <row r="50" spans="1:12" ht="28.5" customHeight="1" x14ac:dyDescent="0.15">
      <c r="A50" s="206" t="s">
        <v>30</v>
      </c>
      <c r="B50" s="201"/>
      <c r="C50" s="85"/>
      <c r="D50" s="86" t="s">
        <v>31</v>
      </c>
      <c r="E50" s="208"/>
      <c r="F50" s="208"/>
      <c r="G50" s="208"/>
      <c r="H50" s="201"/>
      <c r="I50" s="195" t="s">
        <v>32</v>
      </c>
      <c r="J50" s="195"/>
      <c r="K50" s="195"/>
      <c r="L50" s="195"/>
    </row>
    <row r="51" spans="1:12" ht="30" customHeight="1" x14ac:dyDescent="0.15">
      <c r="A51" s="189" t="s">
        <v>33</v>
      </c>
      <c r="B51" s="188"/>
      <c r="C51" s="54"/>
      <c r="D51" s="10" t="s">
        <v>136</v>
      </c>
      <c r="E51" s="187"/>
      <c r="F51" s="187"/>
      <c r="G51" s="187"/>
      <c r="H51" s="188"/>
      <c r="I51" s="234"/>
      <c r="J51" s="235"/>
      <c r="K51" s="173"/>
      <c r="L51" s="174"/>
    </row>
  </sheetData>
  <mergeCells count="13">
    <mergeCell ref="A51:B51"/>
    <mergeCell ref="E51:H51"/>
    <mergeCell ref="I51:J51"/>
    <mergeCell ref="K50:L50"/>
    <mergeCell ref="B44:L49"/>
    <mergeCell ref="A50:B50"/>
    <mergeCell ref="E50:H50"/>
    <mergeCell ref="I50:J50"/>
    <mergeCell ref="A1:L1"/>
    <mergeCell ref="A2:L2"/>
    <mergeCell ref="A3:L3"/>
    <mergeCell ref="L6:L13"/>
    <mergeCell ref="B21:J21"/>
  </mergeCells>
  <phoneticPr fontId="22" type="noConversion"/>
  <pageMargins left="0.7" right="0.7" top="0.75" bottom="0.75" header="0.3" footer="0.3"/>
  <pageSetup paperSize="9" scale="3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4"/>
  <sheetViews>
    <sheetView view="pageBreakPreview" topLeftCell="A88" zoomScale="85" zoomScaleNormal="80" zoomScaleSheetLayoutView="85" workbookViewId="0">
      <selection activeCell="K96" sqref="K96"/>
    </sheetView>
  </sheetViews>
  <sheetFormatPr defaultRowHeight="13.5" x14ac:dyDescent="0.15"/>
  <cols>
    <col min="2" max="2" width="55.5" bestFit="1" customWidth="1"/>
    <col min="3" max="3" width="42.625" customWidth="1"/>
    <col min="4" max="4" width="10" bestFit="1" customWidth="1"/>
    <col min="5" max="5" width="9.375" bestFit="1" customWidth="1"/>
    <col min="6" max="6" width="11.375" bestFit="1" customWidth="1"/>
    <col min="7" max="9" width="9" customWidth="1"/>
    <col min="10" max="10" width="9.375" bestFit="1" customWidth="1"/>
    <col min="11" max="11" width="14.5" bestFit="1" customWidth="1"/>
    <col min="12" max="12" width="9.375" bestFit="1" customWidth="1"/>
  </cols>
  <sheetData>
    <row r="1" spans="1:18" ht="18.75" x14ac:dyDescent="0.15">
      <c r="A1" s="192" t="s">
        <v>69</v>
      </c>
      <c r="B1" s="192"/>
      <c r="C1" s="192"/>
      <c r="D1" s="192"/>
      <c r="E1" s="192"/>
      <c r="F1" s="192"/>
      <c r="G1" s="193"/>
      <c r="H1" s="193"/>
      <c r="I1" s="193"/>
      <c r="J1" s="192"/>
      <c r="K1" s="194"/>
      <c r="L1" s="192"/>
      <c r="M1" s="87"/>
      <c r="N1" s="87"/>
      <c r="O1" s="87"/>
      <c r="P1" s="87"/>
    </row>
    <row r="2" spans="1:18" x14ac:dyDescent="0.15">
      <c r="A2" s="195" t="s">
        <v>156</v>
      </c>
      <c r="B2" s="195"/>
      <c r="C2" s="195"/>
      <c r="D2" s="195"/>
      <c r="E2" s="195"/>
      <c r="F2" s="195"/>
      <c r="G2" s="196"/>
      <c r="H2" s="196"/>
      <c r="I2" s="196"/>
      <c r="J2" s="195"/>
      <c r="K2" s="197"/>
      <c r="L2" s="195"/>
      <c r="M2" s="87"/>
      <c r="N2" s="87"/>
      <c r="O2" s="87"/>
      <c r="P2" s="87"/>
    </row>
    <row r="3" spans="1:18" ht="28.5" customHeight="1" x14ac:dyDescent="0.15">
      <c r="A3" s="198" t="s">
        <v>157</v>
      </c>
      <c r="B3" s="199"/>
      <c r="C3" s="199"/>
      <c r="D3" s="199"/>
      <c r="E3" s="199"/>
      <c r="F3" s="199"/>
      <c r="G3" s="199"/>
      <c r="H3" s="199"/>
      <c r="I3" s="199"/>
      <c r="J3" s="199"/>
      <c r="K3" s="227"/>
      <c r="L3" s="228"/>
      <c r="M3" s="87"/>
      <c r="N3" s="87"/>
      <c r="O3" s="87"/>
      <c r="P3" s="87"/>
    </row>
    <row r="4" spans="1:18" ht="54" x14ac:dyDescent="0.15">
      <c r="A4" s="1" t="s">
        <v>1</v>
      </c>
      <c r="B4" s="1" t="s">
        <v>2</v>
      </c>
      <c r="C4" s="1" t="s">
        <v>70</v>
      </c>
      <c r="D4" s="1" t="s">
        <v>4</v>
      </c>
      <c r="E4" s="1" t="s">
        <v>5</v>
      </c>
      <c r="F4" s="1" t="s">
        <v>6</v>
      </c>
      <c r="G4" s="1" t="s">
        <v>71</v>
      </c>
      <c r="H4" s="2" t="s">
        <v>8</v>
      </c>
      <c r="I4" s="2" t="s">
        <v>9</v>
      </c>
      <c r="J4" s="13" t="s">
        <v>10</v>
      </c>
      <c r="K4" s="15" t="s">
        <v>11</v>
      </c>
      <c r="L4" s="1" t="s">
        <v>12</v>
      </c>
      <c r="M4" s="31"/>
      <c r="N4" s="21" t="s">
        <v>72</v>
      </c>
      <c r="O4" s="21" t="s">
        <v>73</v>
      </c>
      <c r="P4" s="21" t="s">
        <v>74</v>
      </c>
      <c r="Q4" s="21" t="s">
        <v>75</v>
      </c>
      <c r="R4" s="21" t="s">
        <v>142</v>
      </c>
    </row>
    <row r="5" spans="1:18" ht="14.25" x14ac:dyDescent="0.15">
      <c r="A5" s="3" t="s">
        <v>76</v>
      </c>
      <c r="B5" s="88" t="s">
        <v>77</v>
      </c>
      <c r="C5" s="89"/>
      <c r="D5" s="89"/>
      <c r="E5" s="3"/>
      <c r="F5" s="4"/>
      <c r="G5" s="5"/>
      <c r="H5" s="5"/>
      <c r="I5" s="5"/>
      <c r="J5" s="90"/>
      <c r="K5" s="15"/>
      <c r="L5" s="16"/>
      <c r="M5" s="28"/>
      <c r="N5" s="91">
        <f>200*100*6*0.785/1000/100</f>
        <v>0.94200000000000006</v>
      </c>
      <c r="O5" s="92">
        <f>160*140*6*0.785/1000/100</f>
        <v>1.05504</v>
      </c>
      <c r="P5" s="92">
        <f>250*250*20*0.785/1000/100+4*100*40*6*0.785/1000/100+200*100*12*0.785/100/1000</f>
        <v>12.450100000000001</v>
      </c>
      <c r="Q5">
        <f>3.64*0.363*2+1.176</f>
        <v>3.8186400000000003</v>
      </c>
      <c r="R5">
        <v>3.64</v>
      </c>
    </row>
    <row r="6" spans="1:18" ht="67.5" x14ac:dyDescent="0.15">
      <c r="A6" s="3">
        <v>1</v>
      </c>
      <c r="B6" s="93" t="s">
        <v>137</v>
      </c>
      <c r="C6" s="94" t="s">
        <v>158</v>
      </c>
      <c r="D6" s="9" t="s">
        <v>78</v>
      </c>
      <c r="E6" s="9" t="s">
        <v>24</v>
      </c>
      <c r="F6" s="52" t="s">
        <v>79</v>
      </c>
      <c r="G6" s="132">
        <v>15</v>
      </c>
      <c r="H6" s="95"/>
      <c r="I6" s="95">
        <f t="shared" ref="I6:I68" si="0">H6+G6</f>
        <v>15</v>
      </c>
      <c r="J6" s="96">
        <f>P6</f>
        <v>1247.0460700000001</v>
      </c>
      <c r="K6" s="97">
        <f t="shared" ref="K6:K18" si="1">I6*J6</f>
        <v>18705.691050000001</v>
      </c>
      <c r="L6" s="229" t="s">
        <v>80</v>
      </c>
      <c r="M6" s="98"/>
      <c r="N6" s="92">
        <v>13.85</v>
      </c>
      <c r="O6" s="92">
        <v>11.49</v>
      </c>
      <c r="P6" s="92">
        <f>N6*(7.03+9.574+9.574+9.574+9.574+7.03)+O6*(2.237+2.303+2.373+2.277+2.181+2.277+2.373+2.277+2.181+2.277+2.373+2.303+2.237)+2*N5*5+O5*2+P5*13+Q5*2</f>
        <v>1247.0460700000001</v>
      </c>
    </row>
    <row r="7" spans="1:18" ht="54" x14ac:dyDescent="0.15">
      <c r="A7" s="3">
        <v>2</v>
      </c>
      <c r="B7" s="93" t="s">
        <v>159</v>
      </c>
      <c r="C7" s="94" t="s">
        <v>160</v>
      </c>
      <c r="D7" s="9" t="s">
        <v>78</v>
      </c>
      <c r="E7" s="9" t="s">
        <v>24</v>
      </c>
      <c r="F7" s="52" t="s">
        <v>79</v>
      </c>
      <c r="G7" s="132">
        <v>1</v>
      </c>
      <c r="H7" s="95"/>
      <c r="I7" s="95">
        <f t="shared" si="0"/>
        <v>1</v>
      </c>
      <c r="J7" s="96">
        <f>P7</f>
        <v>1072.47687</v>
      </c>
      <c r="K7" s="97">
        <f t="shared" si="1"/>
        <v>1072.47687</v>
      </c>
      <c r="L7" s="230"/>
      <c r="M7" s="98"/>
      <c r="N7" s="92">
        <v>13.85</v>
      </c>
      <c r="O7" s="92">
        <v>11.49</v>
      </c>
      <c r="P7" s="92">
        <f>N7*(7.03+9.574+9.574+9.574+9.7)+O7*(2.237+2.303+2.373+2.277+2.181+2.277+2.373+2.277+2.181+2.277+2.373)+2*N5*4+O5*2+P5*11+Q5*2</f>
        <v>1072.47687</v>
      </c>
    </row>
    <row r="8" spans="1:18" ht="81" x14ac:dyDescent="0.15">
      <c r="A8" s="3">
        <v>3</v>
      </c>
      <c r="B8" s="93" t="s">
        <v>138</v>
      </c>
      <c r="C8" s="94" t="s">
        <v>161</v>
      </c>
      <c r="D8" s="9" t="s">
        <v>78</v>
      </c>
      <c r="E8" s="9" t="s">
        <v>24</v>
      </c>
      <c r="F8" s="52" t="s">
        <v>79</v>
      </c>
      <c r="G8" s="132">
        <v>5</v>
      </c>
      <c r="H8" s="95"/>
      <c r="I8" s="95">
        <f t="shared" si="0"/>
        <v>5</v>
      </c>
      <c r="J8" s="96">
        <f>P8</f>
        <v>1179.89382</v>
      </c>
      <c r="K8" s="97">
        <f t="shared" si="1"/>
        <v>5899.4691000000003</v>
      </c>
      <c r="L8" s="230"/>
      <c r="M8" s="98"/>
      <c r="N8" s="92"/>
      <c r="O8" s="92"/>
      <c r="P8" s="92">
        <f>N7*(7.03+9.574+9.574+9.574+9.574+4.732)+O7*(2.237+2.303+2.373+2.277+2.181+2.277+2.373+2.277+2.181+2.277+2.373+2.303)+2*N5*5+O5*2+P5*12+Q5*2+R5*0.777</f>
        <v>1179.89382</v>
      </c>
    </row>
    <row r="9" spans="1:18" ht="54" x14ac:dyDescent="0.15">
      <c r="A9" s="3">
        <v>4</v>
      </c>
      <c r="B9" s="93" t="s">
        <v>139</v>
      </c>
      <c r="C9" s="94" t="s">
        <v>162</v>
      </c>
      <c r="D9" s="9" t="s">
        <v>78</v>
      </c>
      <c r="E9" s="9" t="s">
        <v>24</v>
      </c>
      <c r="F9" s="52" t="s">
        <v>79</v>
      </c>
      <c r="G9" s="132">
        <v>1</v>
      </c>
      <c r="H9" s="95"/>
      <c r="I9" s="95">
        <f t="shared" si="0"/>
        <v>1</v>
      </c>
      <c r="J9" s="96">
        <f>P9</f>
        <v>1037.2084299999999</v>
      </c>
      <c r="K9" s="97">
        <f t="shared" si="1"/>
        <v>1037.2084299999999</v>
      </c>
      <c r="L9" s="230"/>
      <c r="M9" s="98"/>
      <c r="N9" s="92"/>
      <c r="O9" s="92"/>
      <c r="P9" s="92">
        <f>N7*(7.03+9.574+9.574+9.574+7.2)+O7*(2.237+2.303+2.373+2.277+2.181+2.277+2.373+2.277+2.181+2.277+2.317)+2*N5*4+O5*2+P5*11+Q5*2</f>
        <v>1037.2084299999999</v>
      </c>
    </row>
    <row r="10" spans="1:18" ht="40.5" x14ac:dyDescent="0.15">
      <c r="A10" s="3">
        <v>5</v>
      </c>
      <c r="B10" s="93" t="s">
        <v>140</v>
      </c>
      <c r="C10" s="94" t="s">
        <v>163</v>
      </c>
      <c r="D10" s="9" t="s">
        <v>78</v>
      </c>
      <c r="E10" s="9" t="s">
        <v>24</v>
      </c>
      <c r="F10" s="52" t="s">
        <v>79</v>
      </c>
      <c r="G10" s="132">
        <v>3</v>
      </c>
      <c r="H10" s="95"/>
      <c r="I10" s="95">
        <f t="shared" si="0"/>
        <v>3</v>
      </c>
      <c r="J10" s="96">
        <f t="shared" ref="J10" si="2">P10</f>
        <v>819.0940700000001</v>
      </c>
      <c r="K10" s="97">
        <f t="shared" si="1"/>
        <v>2457.2822100000003</v>
      </c>
      <c r="L10" s="230"/>
      <c r="M10" s="98"/>
      <c r="N10" s="92"/>
      <c r="O10" s="92"/>
      <c r="P10" s="92">
        <f>N7*(7.03+9.574+9.574+7)+O7*(2.237+2.303+2.373+2.277+2.181+2.277+2.373+2.277+2.237)+2*N5*3+O5*2+P5*9+Q5</f>
        <v>819.0940700000001</v>
      </c>
    </row>
    <row r="11" spans="1:18" ht="40.5" x14ac:dyDescent="0.15">
      <c r="A11" s="3">
        <v>5</v>
      </c>
      <c r="B11" s="93" t="s">
        <v>141</v>
      </c>
      <c r="C11" s="94" t="s">
        <v>171</v>
      </c>
      <c r="D11" s="9" t="s">
        <v>78</v>
      </c>
      <c r="E11" s="9" t="s">
        <v>24</v>
      </c>
      <c r="F11" s="52" t="s">
        <v>79</v>
      </c>
      <c r="G11" s="132">
        <v>2</v>
      </c>
      <c r="H11" s="95"/>
      <c r="I11" s="95">
        <f t="shared" ref="I11" si="3">H11+G11</f>
        <v>2</v>
      </c>
      <c r="J11" s="96">
        <f t="shared" ref="J11" si="4">P11</f>
        <v>741.59045000000003</v>
      </c>
      <c r="K11" s="97">
        <f t="shared" si="1"/>
        <v>1483.1809000000001</v>
      </c>
      <c r="L11" s="230"/>
      <c r="M11" s="98"/>
      <c r="N11" s="92"/>
      <c r="O11" s="92"/>
      <c r="P11" s="92">
        <f>N7*(7.2+9.574+13.961)+O7*(2.317+2.277+2.181+2.277+2.373+2.277+2.181+2.099)+2*N5*2+O5*2+P5*8+Q5</f>
        <v>741.59045000000003</v>
      </c>
    </row>
    <row r="12" spans="1:18" ht="40.5" x14ac:dyDescent="0.15">
      <c r="A12" s="3">
        <v>5</v>
      </c>
      <c r="B12" s="93" t="s">
        <v>164</v>
      </c>
      <c r="C12" s="94" t="s">
        <v>172</v>
      </c>
      <c r="D12" s="9" t="s">
        <v>78</v>
      </c>
      <c r="E12" s="9" t="s">
        <v>24</v>
      </c>
      <c r="F12" s="52" t="s">
        <v>79</v>
      </c>
      <c r="G12" s="132">
        <v>6</v>
      </c>
      <c r="H12" s="95"/>
      <c r="I12" s="95">
        <f t="shared" ref="I12" si="5">H12+G12</f>
        <v>6</v>
      </c>
      <c r="J12" s="96">
        <f t="shared" ref="J12" si="6">P12</f>
        <v>954.33659</v>
      </c>
      <c r="K12" s="97">
        <f t="shared" si="1"/>
        <v>5726.0195400000002</v>
      </c>
      <c r="L12" s="230"/>
      <c r="M12" s="98"/>
      <c r="N12" s="92"/>
      <c r="O12" s="92"/>
      <c r="P12" s="92">
        <f>N7*(7.03+9.574+9.574+14.171)+O7*(2.237+2.303+2.373+2.277+2.181+2.277+2.373+2.277+2.181+2.099)+2*N5*3+O5*2+P5*10+Q5</f>
        <v>954.33659</v>
      </c>
    </row>
    <row r="13" spans="1:18" ht="54" x14ac:dyDescent="0.15">
      <c r="A13" s="3">
        <v>5</v>
      </c>
      <c r="B13" s="93" t="s">
        <v>165</v>
      </c>
      <c r="C13" s="94" t="s">
        <v>173</v>
      </c>
      <c r="D13" s="9" t="s">
        <v>78</v>
      </c>
      <c r="E13" s="9" t="s">
        <v>24</v>
      </c>
      <c r="F13" s="52" t="s">
        <v>79</v>
      </c>
      <c r="G13" s="132">
        <v>2</v>
      </c>
      <c r="H13" s="95"/>
      <c r="I13" s="95">
        <f t="shared" ref="I13" si="7">H13+G13</f>
        <v>2</v>
      </c>
      <c r="J13" s="96">
        <f t="shared" ref="J13" si="8">P13</f>
        <v>1236.4041799999998</v>
      </c>
      <c r="K13" s="97">
        <f t="shared" si="1"/>
        <v>2472.8083599999995</v>
      </c>
      <c r="L13" s="230"/>
      <c r="M13" s="98"/>
      <c r="N13" s="92"/>
      <c r="O13" s="92"/>
      <c r="P13" s="92">
        <f>N7*(7.03+9.574+9.574+14.171+11.67)+O7*(2.237+2.303+2.373+2.277+2.181+2.277+2.373+2.277+2.181+2.099+2.167+2.249+2.319)+2*N5*4+O5*2+P5*13+Q5*2</f>
        <v>1236.4041799999998</v>
      </c>
    </row>
    <row r="14" spans="1:18" ht="40.5" x14ac:dyDescent="0.15">
      <c r="A14" s="3">
        <v>5</v>
      </c>
      <c r="B14" s="93" t="s">
        <v>166</v>
      </c>
      <c r="C14" s="94" t="s">
        <v>174</v>
      </c>
      <c r="D14" s="9" t="s">
        <v>78</v>
      </c>
      <c r="E14" s="9" t="s">
        <v>24</v>
      </c>
      <c r="F14" s="52" t="s">
        <v>79</v>
      </c>
      <c r="G14" s="132">
        <v>2</v>
      </c>
      <c r="H14" s="95"/>
      <c r="I14" s="95">
        <f t="shared" ref="I14" si="9">H14+G14</f>
        <v>2</v>
      </c>
      <c r="J14" s="96">
        <f t="shared" ref="J14" si="10">P14</f>
        <v>721.23237000000017</v>
      </c>
      <c r="K14" s="97">
        <f t="shared" si="1"/>
        <v>1442.4647400000003</v>
      </c>
      <c r="L14" s="230"/>
      <c r="M14" s="98"/>
      <c r="N14" s="92"/>
      <c r="O14" s="92"/>
      <c r="P14" s="92">
        <f>N7*(2.4+9.574+9.574+7.2)+O7*(2.226+2.181+2.277+2.373+2.277+2.181+2.277+2.317)+2*N5*3+O5*2+P5*8+Q5*2</f>
        <v>721.23237000000017</v>
      </c>
    </row>
    <row r="15" spans="1:18" ht="40.5" x14ac:dyDescent="0.15">
      <c r="A15" s="3">
        <v>5</v>
      </c>
      <c r="B15" s="93" t="s">
        <v>167</v>
      </c>
      <c r="C15" s="94" t="s">
        <v>175</v>
      </c>
      <c r="D15" s="9" t="s">
        <v>78</v>
      </c>
      <c r="E15" s="9" t="s">
        <v>24</v>
      </c>
      <c r="F15" s="52" t="s">
        <v>79</v>
      </c>
      <c r="G15" s="132">
        <v>1</v>
      </c>
      <c r="H15" s="95"/>
      <c r="I15" s="95">
        <f t="shared" ref="I15" si="11">H15+G15</f>
        <v>1</v>
      </c>
      <c r="J15" s="96">
        <f t="shared" ref="J15" si="12">P15</f>
        <v>137.76038</v>
      </c>
      <c r="K15" s="97">
        <f t="shared" si="1"/>
        <v>137.76038</v>
      </c>
      <c r="L15" s="230"/>
      <c r="M15" s="98"/>
      <c r="N15" s="92"/>
      <c r="O15" s="92"/>
      <c r="P15" s="92">
        <f>N7*(4.23)+O7*(2.303+2.237)+2*N5*0+O5*2+P5*2</f>
        <v>137.76038</v>
      </c>
    </row>
    <row r="16" spans="1:18" ht="40.5" x14ac:dyDescent="0.15">
      <c r="A16" s="3">
        <v>5</v>
      </c>
      <c r="B16" s="93" t="s">
        <v>168</v>
      </c>
      <c r="C16" s="94" t="s">
        <v>176</v>
      </c>
      <c r="D16" s="9" t="s">
        <v>78</v>
      </c>
      <c r="E16" s="9" t="s">
        <v>24</v>
      </c>
      <c r="F16" s="52" t="s">
        <v>79</v>
      </c>
      <c r="G16" s="132">
        <v>1</v>
      </c>
      <c r="H16" s="95"/>
      <c r="I16" s="95">
        <f t="shared" ref="I16" si="13">H16+G16</f>
        <v>1</v>
      </c>
      <c r="J16" s="96">
        <f t="shared" ref="J16" si="14">P16</f>
        <v>218.36822000000004</v>
      </c>
      <c r="K16" s="97">
        <f t="shared" si="1"/>
        <v>218.36822000000004</v>
      </c>
      <c r="L16" s="230"/>
      <c r="M16" s="98"/>
      <c r="N16" s="92"/>
      <c r="O16" s="92"/>
      <c r="P16" s="92">
        <f>N7*(7.18)+O7*(2.303+2.237+2.376)+2*N5*0+O5*2+P5*3</f>
        <v>218.36822000000004</v>
      </c>
    </row>
    <row r="17" spans="1:16" ht="40.5" x14ac:dyDescent="0.15">
      <c r="A17" s="3">
        <v>5</v>
      </c>
      <c r="B17" s="93" t="s">
        <v>169</v>
      </c>
      <c r="C17" s="94" t="s">
        <v>177</v>
      </c>
      <c r="D17" s="9" t="s">
        <v>78</v>
      </c>
      <c r="E17" s="9" t="s">
        <v>24</v>
      </c>
      <c r="F17" s="52" t="s">
        <v>79</v>
      </c>
      <c r="G17" s="132">
        <v>1</v>
      </c>
      <c r="H17" s="95"/>
      <c r="I17" s="95">
        <f t="shared" ref="I17" si="15">H17+G17</f>
        <v>1</v>
      </c>
      <c r="J17" s="96">
        <f t="shared" ref="J17" si="16">P17</f>
        <v>216.55371</v>
      </c>
      <c r="K17" s="97">
        <f t="shared" si="1"/>
        <v>216.55371</v>
      </c>
      <c r="L17" s="230"/>
      <c r="M17" s="98"/>
      <c r="N17" s="92"/>
      <c r="O17" s="92"/>
      <c r="P17" s="92">
        <f>N7*(7.38)+O7*(2.237+2.181+2.099)+2*N5*0+O5*2+P5*3</f>
        <v>216.55371</v>
      </c>
    </row>
    <row r="18" spans="1:16" ht="40.5" x14ac:dyDescent="0.15">
      <c r="A18" s="3">
        <v>5</v>
      </c>
      <c r="B18" s="93" t="s">
        <v>170</v>
      </c>
      <c r="C18" s="94" t="s">
        <v>178</v>
      </c>
      <c r="D18" s="9" t="s">
        <v>78</v>
      </c>
      <c r="E18" s="9" t="s">
        <v>24</v>
      </c>
      <c r="F18" s="52" t="s">
        <v>79</v>
      </c>
      <c r="G18" s="132">
        <v>1</v>
      </c>
      <c r="H18" s="95"/>
      <c r="I18" s="95">
        <f t="shared" ref="I18" si="17">H18+G18</f>
        <v>1</v>
      </c>
      <c r="J18" s="96">
        <f t="shared" ref="J18" si="18">P18</f>
        <v>109.30018</v>
      </c>
      <c r="K18" s="97">
        <f t="shared" si="1"/>
        <v>109.30018</v>
      </c>
      <c r="L18" s="230"/>
      <c r="M18" s="98"/>
      <c r="N18" s="92"/>
      <c r="O18" s="92"/>
      <c r="P18" s="92">
        <f>N7*(2.2)+O7*(2.237+2.273)+2*N5*0+O5*2+P5*2</f>
        <v>109.30018</v>
      </c>
    </row>
    <row r="19" spans="1:16" ht="27" x14ac:dyDescent="0.15">
      <c r="A19" s="3">
        <v>6</v>
      </c>
      <c r="B19" s="93" t="s">
        <v>143</v>
      </c>
      <c r="C19" s="99">
        <v>3845</v>
      </c>
      <c r="D19" s="9" t="s">
        <v>78</v>
      </c>
      <c r="E19" s="9" t="s">
        <v>81</v>
      </c>
      <c r="F19" s="52" t="s">
        <v>18</v>
      </c>
      <c r="G19" s="131">
        <v>11</v>
      </c>
      <c r="H19" s="95"/>
      <c r="I19" s="95">
        <f t="shared" si="0"/>
        <v>11</v>
      </c>
      <c r="J19" s="96">
        <v>5.87</v>
      </c>
      <c r="K19" s="97">
        <f t="shared" ref="K19:K49" si="19">C19*I19*J19/1000</f>
        <v>248.27164999999999</v>
      </c>
      <c r="L19" s="230"/>
      <c r="M19" s="98"/>
      <c r="N19" s="100">
        <f t="shared" ref="N19:N20" si="20">C19*I19</f>
        <v>42295</v>
      </c>
      <c r="O19" s="100"/>
      <c r="P19" s="100"/>
    </row>
    <row r="20" spans="1:16" ht="27" x14ac:dyDescent="0.15">
      <c r="A20" s="3">
        <v>7</v>
      </c>
      <c r="B20" s="93" t="s">
        <v>143</v>
      </c>
      <c r="C20" s="99">
        <v>3070</v>
      </c>
      <c r="D20" s="9" t="s">
        <v>78</v>
      </c>
      <c r="E20" s="9" t="s">
        <v>81</v>
      </c>
      <c r="F20" s="52" t="s">
        <v>18</v>
      </c>
      <c r="G20" s="131">
        <v>34</v>
      </c>
      <c r="H20" s="95"/>
      <c r="I20" s="95">
        <f t="shared" si="0"/>
        <v>34</v>
      </c>
      <c r="J20" s="96">
        <v>5.87</v>
      </c>
      <c r="K20" s="97">
        <f t="shared" si="19"/>
        <v>612.7106</v>
      </c>
      <c r="L20" s="230"/>
      <c r="M20" s="98"/>
      <c r="N20" s="100">
        <f t="shared" si="20"/>
        <v>104380</v>
      </c>
      <c r="O20" s="100"/>
      <c r="P20" s="100"/>
    </row>
    <row r="21" spans="1:16" ht="27" x14ac:dyDescent="0.15">
      <c r="A21" s="3">
        <v>8</v>
      </c>
      <c r="B21" s="93" t="s">
        <v>143</v>
      </c>
      <c r="C21" s="99">
        <v>4250</v>
      </c>
      <c r="D21" s="9" t="s">
        <v>78</v>
      </c>
      <c r="E21" s="9" t="s">
        <v>81</v>
      </c>
      <c r="F21" s="52" t="s">
        <v>18</v>
      </c>
      <c r="G21" s="131">
        <v>6</v>
      </c>
      <c r="H21" s="95"/>
      <c r="I21" s="95">
        <f t="shared" si="0"/>
        <v>6</v>
      </c>
      <c r="J21" s="96">
        <v>5.87</v>
      </c>
      <c r="K21" s="97">
        <f t="shared" si="19"/>
        <v>149.685</v>
      </c>
      <c r="L21" s="230"/>
      <c r="M21" s="98"/>
      <c r="N21" s="100"/>
      <c r="O21" s="100"/>
      <c r="P21" s="100"/>
    </row>
    <row r="22" spans="1:16" ht="27" x14ac:dyDescent="0.15">
      <c r="A22" s="3">
        <v>9</v>
      </c>
      <c r="B22" s="93" t="s">
        <v>143</v>
      </c>
      <c r="C22" s="99">
        <v>6145</v>
      </c>
      <c r="D22" s="9" t="s">
        <v>78</v>
      </c>
      <c r="E22" s="9" t="s">
        <v>81</v>
      </c>
      <c r="F22" s="52" t="s">
        <v>18</v>
      </c>
      <c r="G22" s="131">
        <v>6</v>
      </c>
      <c r="H22" s="95"/>
      <c r="I22" s="95">
        <f t="shared" si="0"/>
        <v>6</v>
      </c>
      <c r="J22" s="96">
        <v>5.87</v>
      </c>
      <c r="K22" s="97">
        <f t="shared" si="19"/>
        <v>216.42689999999999</v>
      </c>
      <c r="L22" s="230"/>
      <c r="M22" s="98"/>
      <c r="N22" s="100"/>
      <c r="O22" s="100"/>
      <c r="P22" s="100"/>
    </row>
    <row r="23" spans="1:16" ht="27" x14ac:dyDescent="0.15">
      <c r="A23" s="3">
        <v>10</v>
      </c>
      <c r="B23" s="93" t="s">
        <v>143</v>
      </c>
      <c r="C23" s="99">
        <v>6200</v>
      </c>
      <c r="D23" s="9" t="s">
        <v>78</v>
      </c>
      <c r="E23" s="9" t="s">
        <v>81</v>
      </c>
      <c r="F23" s="52" t="s">
        <v>18</v>
      </c>
      <c r="G23" s="131">
        <v>16</v>
      </c>
      <c r="H23" s="95"/>
      <c r="I23" s="95">
        <f t="shared" si="0"/>
        <v>16</v>
      </c>
      <c r="J23" s="96">
        <v>5.87</v>
      </c>
      <c r="K23" s="97">
        <f t="shared" si="19"/>
        <v>582.30399999999997</v>
      </c>
      <c r="L23" s="230"/>
      <c r="M23" s="98"/>
      <c r="N23" s="100"/>
      <c r="O23" s="100"/>
      <c r="P23" s="100"/>
    </row>
    <row r="24" spans="1:16" ht="27" x14ac:dyDescent="0.15">
      <c r="A24" s="3">
        <v>11</v>
      </c>
      <c r="B24" s="93" t="s">
        <v>143</v>
      </c>
      <c r="C24" s="99">
        <v>3200</v>
      </c>
      <c r="D24" s="9" t="s">
        <v>78</v>
      </c>
      <c r="E24" s="9" t="s">
        <v>81</v>
      </c>
      <c r="F24" s="52" t="s">
        <v>18</v>
      </c>
      <c r="G24" s="131">
        <v>6</v>
      </c>
      <c r="H24" s="95"/>
      <c r="I24" s="95">
        <f t="shared" si="0"/>
        <v>6</v>
      </c>
      <c r="J24" s="96">
        <v>5.87</v>
      </c>
      <c r="K24" s="97">
        <f t="shared" si="19"/>
        <v>112.70399999999999</v>
      </c>
      <c r="L24" s="230"/>
      <c r="M24" s="98"/>
      <c r="N24" s="100"/>
      <c r="O24" s="100"/>
      <c r="P24" s="100"/>
    </row>
    <row r="25" spans="1:16" ht="27" x14ac:dyDescent="0.15">
      <c r="A25" s="3">
        <v>12</v>
      </c>
      <c r="B25" s="93" t="s">
        <v>143</v>
      </c>
      <c r="C25" s="99">
        <v>6100</v>
      </c>
      <c r="D25" s="9" t="s">
        <v>78</v>
      </c>
      <c r="E25" s="9" t="s">
        <v>81</v>
      </c>
      <c r="F25" s="52" t="s">
        <v>18</v>
      </c>
      <c r="G25" s="131">
        <v>8</v>
      </c>
      <c r="H25" s="95"/>
      <c r="I25" s="95">
        <f t="shared" si="0"/>
        <v>8</v>
      </c>
      <c r="J25" s="96">
        <v>5.87</v>
      </c>
      <c r="K25" s="97">
        <f t="shared" si="19"/>
        <v>286.45600000000002</v>
      </c>
      <c r="L25" s="230"/>
      <c r="M25" s="98"/>
      <c r="N25" s="100"/>
      <c r="O25" s="100"/>
      <c r="P25" s="100"/>
    </row>
    <row r="26" spans="1:16" ht="27" x14ac:dyDescent="0.15">
      <c r="A26" s="3">
        <v>13</v>
      </c>
      <c r="B26" s="93" t="s">
        <v>143</v>
      </c>
      <c r="C26" s="99">
        <v>3320</v>
      </c>
      <c r="D26" s="9" t="s">
        <v>78</v>
      </c>
      <c r="E26" s="9" t="s">
        <v>81</v>
      </c>
      <c r="F26" s="52" t="s">
        <v>18</v>
      </c>
      <c r="G26" s="131">
        <v>6</v>
      </c>
      <c r="H26" s="95"/>
      <c r="I26" s="95">
        <f t="shared" si="0"/>
        <v>6</v>
      </c>
      <c r="J26" s="96">
        <v>5.87</v>
      </c>
      <c r="K26" s="97">
        <f t="shared" si="19"/>
        <v>116.93040000000001</v>
      </c>
      <c r="L26" s="230"/>
      <c r="M26" s="98"/>
      <c r="N26" s="100"/>
      <c r="O26" s="100"/>
      <c r="P26" s="100"/>
    </row>
    <row r="27" spans="1:16" ht="27" x14ac:dyDescent="0.15">
      <c r="A27" s="3">
        <v>14</v>
      </c>
      <c r="B27" s="93" t="s">
        <v>143</v>
      </c>
      <c r="C27" s="99">
        <v>6295</v>
      </c>
      <c r="D27" s="9" t="s">
        <v>78</v>
      </c>
      <c r="E27" s="9" t="s">
        <v>81</v>
      </c>
      <c r="F27" s="52" t="s">
        <v>18</v>
      </c>
      <c r="G27" s="131">
        <v>2</v>
      </c>
      <c r="H27" s="95"/>
      <c r="I27" s="95">
        <f t="shared" si="0"/>
        <v>2</v>
      </c>
      <c r="J27" s="96">
        <v>5.87</v>
      </c>
      <c r="K27" s="97">
        <f t="shared" si="19"/>
        <v>73.903300000000002</v>
      </c>
      <c r="L27" s="230"/>
      <c r="M27" s="98"/>
      <c r="N27" s="100"/>
      <c r="O27" s="100"/>
      <c r="P27" s="100"/>
    </row>
    <row r="28" spans="1:16" ht="27" x14ac:dyDescent="0.15">
      <c r="A28" s="3">
        <v>15</v>
      </c>
      <c r="B28" s="93" t="s">
        <v>143</v>
      </c>
      <c r="C28" s="99">
        <v>4145</v>
      </c>
      <c r="D28" s="9" t="s">
        <v>78</v>
      </c>
      <c r="E28" s="9" t="s">
        <v>81</v>
      </c>
      <c r="F28" s="52" t="s">
        <v>18</v>
      </c>
      <c r="G28" s="131">
        <v>2</v>
      </c>
      <c r="H28" s="95"/>
      <c r="I28" s="95">
        <f t="shared" si="0"/>
        <v>2</v>
      </c>
      <c r="J28" s="96">
        <v>5.87</v>
      </c>
      <c r="K28" s="97">
        <f t="shared" si="19"/>
        <v>48.662300000000002</v>
      </c>
      <c r="L28" s="230"/>
      <c r="M28" s="98"/>
      <c r="N28" s="100"/>
      <c r="O28" s="100"/>
      <c r="P28" s="100"/>
    </row>
    <row r="29" spans="1:16" ht="27" x14ac:dyDescent="0.15">
      <c r="A29" s="3">
        <v>15</v>
      </c>
      <c r="B29" s="93" t="s">
        <v>143</v>
      </c>
      <c r="C29" s="99">
        <v>5650</v>
      </c>
      <c r="D29" s="9" t="s">
        <v>78</v>
      </c>
      <c r="E29" s="9" t="s">
        <v>81</v>
      </c>
      <c r="F29" s="52" t="s">
        <v>18</v>
      </c>
      <c r="G29" s="131">
        <v>8</v>
      </c>
      <c r="H29" s="95"/>
      <c r="I29" s="95">
        <f t="shared" ref="I29" si="21">H29+G29</f>
        <v>8</v>
      </c>
      <c r="J29" s="96">
        <v>5.87</v>
      </c>
      <c r="K29" s="97">
        <f t="shared" ref="K29" si="22">C29*I29*J29/1000</f>
        <v>265.32400000000001</v>
      </c>
      <c r="L29" s="230"/>
      <c r="M29" s="98"/>
      <c r="N29" s="100"/>
      <c r="O29" s="100"/>
      <c r="P29" s="100"/>
    </row>
    <row r="30" spans="1:16" ht="27" x14ac:dyDescent="0.15">
      <c r="A30" s="3">
        <v>15</v>
      </c>
      <c r="B30" s="93" t="s">
        <v>143</v>
      </c>
      <c r="C30" s="99">
        <v>6360</v>
      </c>
      <c r="D30" s="9" t="s">
        <v>78</v>
      </c>
      <c r="E30" s="9" t="s">
        <v>81</v>
      </c>
      <c r="F30" s="52" t="s">
        <v>18</v>
      </c>
      <c r="G30" s="131">
        <v>24</v>
      </c>
      <c r="H30" s="95"/>
      <c r="I30" s="95">
        <f t="shared" ref="I30" si="23">H30+G30</f>
        <v>24</v>
      </c>
      <c r="J30" s="96">
        <v>5.87</v>
      </c>
      <c r="K30" s="97">
        <f t="shared" ref="K30" si="24">C30*I30*J30/1000</f>
        <v>895.99680000000001</v>
      </c>
      <c r="L30" s="230"/>
      <c r="M30" s="98"/>
      <c r="N30" s="100"/>
      <c r="O30" s="100"/>
      <c r="P30" s="100"/>
    </row>
    <row r="31" spans="1:16" ht="27" x14ac:dyDescent="0.15">
      <c r="A31" s="3">
        <v>15</v>
      </c>
      <c r="B31" s="93" t="s">
        <v>143</v>
      </c>
      <c r="C31" s="99">
        <v>6330</v>
      </c>
      <c r="D31" s="9" t="s">
        <v>78</v>
      </c>
      <c r="E31" s="9" t="s">
        <v>81</v>
      </c>
      <c r="F31" s="52" t="s">
        <v>18</v>
      </c>
      <c r="G31" s="131">
        <v>42</v>
      </c>
      <c r="H31" s="95"/>
      <c r="I31" s="95">
        <f t="shared" ref="I31" si="25">H31+G31</f>
        <v>42</v>
      </c>
      <c r="J31" s="96">
        <v>5.87</v>
      </c>
      <c r="K31" s="97">
        <f t="shared" ref="K31" si="26">C31*I31*J31/1000</f>
        <v>1560.5981999999999</v>
      </c>
      <c r="L31" s="230"/>
      <c r="M31" s="98"/>
      <c r="N31" s="100"/>
      <c r="O31" s="100"/>
      <c r="P31" s="100"/>
    </row>
    <row r="32" spans="1:16" ht="27" x14ac:dyDescent="0.15">
      <c r="A32" s="3">
        <v>15</v>
      </c>
      <c r="B32" s="93" t="s">
        <v>143</v>
      </c>
      <c r="C32" s="99">
        <v>6250</v>
      </c>
      <c r="D32" s="9" t="s">
        <v>78</v>
      </c>
      <c r="E32" s="9" t="s">
        <v>81</v>
      </c>
      <c r="F32" s="52" t="s">
        <v>18</v>
      </c>
      <c r="G32" s="131">
        <v>42</v>
      </c>
      <c r="H32" s="95"/>
      <c r="I32" s="95">
        <f t="shared" ref="I32" si="27">H32+G32</f>
        <v>42</v>
      </c>
      <c r="J32" s="96">
        <v>5.87</v>
      </c>
      <c r="K32" s="97">
        <f t="shared" ref="K32" si="28">C32*I32*J32/1000</f>
        <v>1540.875</v>
      </c>
      <c r="L32" s="230"/>
      <c r="M32" s="98"/>
      <c r="N32" s="100"/>
      <c r="O32" s="100"/>
      <c r="P32" s="100"/>
    </row>
    <row r="33" spans="1:18" ht="27" x14ac:dyDescent="0.15">
      <c r="A33" s="3">
        <v>15</v>
      </c>
      <c r="B33" s="93" t="s">
        <v>143</v>
      </c>
      <c r="C33" s="99">
        <v>6925</v>
      </c>
      <c r="D33" s="9" t="s">
        <v>78</v>
      </c>
      <c r="E33" s="9" t="s">
        <v>81</v>
      </c>
      <c r="F33" s="52" t="s">
        <v>18</v>
      </c>
      <c r="G33" s="131">
        <v>12</v>
      </c>
      <c r="H33" s="95"/>
      <c r="I33" s="95">
        <f t="shared" ref="I33" si="29">H33+G33</f>
        <v>12</v>
      </c>
      <c r="J33" s="96">
        <v>5.87</v>
      </c>
      <c r="K33" s="97">
        <f t="shared" ref="K33" si="30">C33*I33*J33/1000</f>
        <v>487.79700000000003</v>
      </c>
      <c r="L33" s="230"/>
      <c r="M33" s="98"/>
      <c r="N33" s="100"/>
      <c r="O33" s="100"/>
      <c r="P33" s="100"/>
    </row>
    <row r="34" spans="1:18" ht="27" x14ac:dyDescent="0.15">
      <c r="A34" s="3">
        <v>16</v>
      </c>
      <c r="B34" s="93" t="s">
        <v>144</v>
      </c>
      <c r="C34" s="99">
        <v>9750</v>
      </c>
      <c r="D34" s="9" t="s">
        <v>78</v>
      </c>
      <c r="E34" s="9" t="s">
        <v>81</v>
      </c>
      <c r="F34" s="52" t="s">
        <v>18</v>
      </c>
      <c r="G34" s="131">
        <v>6</v>
      </c>
      <c r="H34" s="95"/>
      <c r="I34" s="95">
        <f t="shared" si="0"/>
        <v>6</v>
      </c>
      <c r="J34" s="96">
        <v>4.76</v>
      </c>
      <c r="K34" s="97">
        <f t="shared" si="19"/>
        <v>278.45999999999998</v>
      </c>
      <c r="L34" s="230"/>
      <c r="M34" s="98"/>
      <c r="N34" s="100"/>
      <c r="O34" s="100"/>
      <c r="P34" s="100"/>
      <c r="Q34">
        <v>4000</v>
      </c>
      <c r="R34">
        <v>13</v>
      </c>
    </row>
    <row r="35" spans="1:18" ht="27" x14ac:dyDescent="0.15">
      <c r="A35" s="3">
        <v>17</v>
      </c>
      <c r="B35" s="93" t="s">
        <v>144</v>
      </c>
      <c r="C35" s="99">
        <v>42950</v>
      </c>
      <c r="D35" s="9" t="s">
        <v>78</v>
      </c>
      <c r="E35" s="9" t="s">
        <v>81</v>
      </c>
      <c r="F35" s="52" t="s">
        <v>18</v>
      </c>
      <c r="G35" s="131">
        <v>6</v>
      </c>
      <c r="H35" s="95"/>
      <c r="I35" s="95">
        <f t="shared" si="0"/>
        <v>6</v>
      </c>
      <c r="J35" s="96">
        <v>4.76</v>
      </c>
      <c r="K35" s="97">
        <f t="shared" si="19"/>
        <v>1226.652</v>
      </c>
      <c r="L35" s="230"/>
      <c r="M35" s="98"/>
      <c r="N35" s="100"/>
      <c r="O35" s="100"/>
      <c r="P35" s="100"/>
      <c r="Q35">
        <v>3950</v>
      </c>
      <c r="R35">
        <v>5</v>
      </c>
    </row>
    <row r="36" spans="1:18" ht="27" x14ac:dyDescent="0.15">
      <c r="A36" s="3">
        <v>18</v>
      </c>
      <c r="B36" s="93" t="s">
        <v>144</v>
      </c>
      <c r="C36" s="99">
        <v>96950</v>
      </c>
      <c r="D36" s="9" t="s">
        <v>78</v>
      </c>
      <c r="E36" s="9" t="s">
        <v>81</v>
      </c>
      <c r="F36" s="52" t="s">
        <v>18</v>
      </c>
      <c r="G36" s="131">
        <v>20</v>
      </c>
      <c r="H36" s="95"/>
      <c r="I36" s="95">
        <f t="shared" si="0"/>
        <v>20</v>
      </c>
      <c r="J36" s="96">
        <v>4.76</v>
      </c>
      <c r="K36" s="97">
        <f t="shared" si="19"/>
        <v>9229.64</v>
      </c>
      <c r="L36" s="230"/>
      <c r="M36" s="98"/>
      <c r="N36" s="100"/>
      <c r="O36" s="100"/>
      <c r="P36" s="100"/>
      <c r="Q36">
        <v>6050</v>
      </c>
      <c r="R36">
        <v>4</v>
      </c>
    </row>
    <row r="37" spans="1:18" ht="27" x14ac:dyDescent="0.15">
      <c r="A37" s="3">
        <v>19</v>
      </c>
      <c r="B37" s="93" t="s">
        <v>144</v>
      </c>
      <c r="C37" s="99">
        <v>31150</v>
      </c>
      <c r="D37" s="9" t="s">
        <v>78</v>
      </c>
      <c r="E37" s="9" t="s">
        <v>81</v>
      </c>
      <c r="F37" s="52" t="s">
        <v>18</v>
      </c>
      <c r="G37" s="131">
        <v>2</v>
      </c>
      <c r="H37" s="95"/>
      <c r="I37" s="95">
        <f t="shared" si="0"/>
        <v>2</v>
      </c>
      <c r="J37" s="96">
        <v>4.76</v>
      </c>
      <c r="K37" s="97">
        <f t="shared" si="19"/>
        <v>296.548</v>
      </c>
      <c r="L37" s="230"/>
      <c r="M37" s="98"/>
      <c r="N37" s="100"/>
      <c r="O37" s="100"/>
      <c r="P37" s="100"/>
      <c r="Q37">
        <v>6000</v>
      </c>
      <c r="R37" s="136" t="s">
        <v>179</v>
      </c>
    </row>
    <row r="38" spans="1:18" ht="27" x14ac:dyDescent="0.15">
      <c r="A38" s="3">
        <v>20</v>
      </c>
      <c r="B38" s="93" t="s">
        <v>144</v>
      </c>
      <c r="C38" s="99">
        <v>42000</v>
      </c>
      <c r="D38" s="9" t="s">
        <v>78</v>
      </c>
      <c r="E38" s="9" t="s">
        <v>81</v>
      </c>
      <c r="F38" s="52" t="s">
        <v>18</v>
      </c>
      <c r="G38" s="131">
        <v>8</v>
      </c>
      <c r="H38" s="95"/>
      <c r="I38" s="95">
        <f t="shared" si="0"/>
        <v>8</v>
      </c>
      <c r="J38" s="96">
        <v>4.76</v>
      </c>
      <c r="K38" s="97">
        <f t="shared" si="19"/>
        <v>1599.36</v>
      </c>
      <c r="L38" s="230"/>
      <c r="M38" s="98"/>
      <c r="N38" s="100"/>
      <c r="O38" s="100"/>
      <c r="P38" s="100"/>
    </row>
    <row r="39" spans="1:18" ht="27" x14ac:dyDescent="0.15">
      <c r="A39" s="3">
        <v>21</v>
      </c>
      <c r="B39" s="93" t="s">
        <v>144</v>
      </c>
      <c r="C39" s="99">
        <v>24000</v>
      </c>
      <c r="D39" s="9" t="s">
        <v>78</v>
      </c>
      <c r="E39" s="9" t="s">
        <v>81</v>
      </c>
      <c r="F39" s="52" t="s">
        <v>18</v>
      </c>
      <c r="G39" s="131">
        <v>14</v>
      </c>
      <c r="H39" s="95"/>
      <c r="I39" s="95">
        <f t="shared" si="0"/>
        <v>14</v>
      </c>
      <c r="J39" s="96">
        <v>4.76</v>
      </c>
      <c r="K39" s="97">
        <f t="shared" si="19"/>
        <v>1599.36</v>
      </c>
      <c r="L39" s="230"/>
      <c r="M39" s="98"/>
      <c r="N39" s="100"/>
      <c r="O39" s="100"/>
      <c r="P39" s="100"/>
      <c r="Q39">
        <v>6005</v>
      </c>
      <c r="R39">
        <v>11</v>
      </c>
    </row>
    <row r="40" spans="1:18" ht="27" x14ac:dyDescent="0.15">
      <c r="A40" s="3">
        <v>21</v>
      </c>
      <c r="B40" s="93" t="s">
        <v>144</v>
      </c>
      <c r="C40" s="99">
        <v>66000</v>
      </c>
      <c r="D40" s="9" t="s">
        <v>78</v>
      </c>
      <c r="E40" s="9" t="s">
        <v>81</v>
      </c>
      <c r="F40" s="52" t="s">
        <v>18</v>
      </c>
      <c r="G40" s="131">
        <v>8</v>
      </c>
      <c r="H40" s="95"/>
      <c r="I40" s="95">
        <f t="shared" ref="I40" si="31">H40+G40</f>
        <v>8</v>
      </c>
      <c r="J40" s="96">
        <v>4.76</v>
      </c>
      <c r="K40" s="97">
        <f t="shared" ref="K40" si="32">C40*I40*J40/1000</f>
        <v>2513.2800000000002</v>
      </c>
      <c r="L40" s="230"/>
      <c r="M40" s="98"/>
      <c r="N40" s="100"/>
      <c r="O40" s="100"/>
      <c r="P40" s="100"/>
      <c r="Q40">
        <v>6005</v>
      </c>
      <c r="R40">
        <v>11</v>
      </c>
    </row>
    <row r="41" spans="1:18" ht="27" x14ac:dyDescent="0.15">
      <c r="A41" s="3">
        <v>21</v>
      </c>
      <c r="B41" s="93" t="s">
        <v>144</v>
      </c>
      <c r="C41" s="99">
        <v>82200</v>
      </c>
      <c r="D41" s="9" t="s">
        <v>78</v>
      </c>
      <c r="E41" s="9" t="s">
        <v>81</v>
      </c>
      <c r="F41" s="52" t="s">
        <v>18</v>
      </c>
      <c r="G41" s="131">
        <v>24</v>
      </c>
      <c r="H41" s="95"/>
      <c r="I41" s="95">
        <f t="shared" ref="I41:I42" si="33">H41+G41</f>
        <v>24</v>
      </c>
      <c r="J41" s="96">
        <v>4.76</v>
      </c>
      <c r="K41" s="97">
        <f t="shared" ref="K41:K42" si="34">C41*I41*J41/1000</f>
        <v>9390.5280000000002</v>
      </c>
      <c r="L41" s="230"/>
      <c r="M41" s="98"/>
      <c r="N41" s="100"/>
      <c r="O41" s="100"/>
      <c r="P41" s="100"/>
      <c r="Q41">
        <v>6005</v>
      </c>
      <c r="R41">
        <v>11</v>
      </c>
    </row>
    <row r="42" spans="1:18" ht="27" x14ac:dyDescent="0.15">
      <c r="A42" s="3">
        <v>21</v>
      </c>
      <c r="B42" s="93" t="s">
        <v>144</v>
      </c>
      <c r="C42" s="99">
        <v>71450</v>
      </c>
      <c r="D42" s="9" t="s">
        <v>78</v>
      </c>
      <c r="E42" s="9" t="s">
        <v>81</v>
      </c>
      <c r="F42" s="52" t="s">
        <v>18</v>
      </c>
      <c r="G42" s="131">
        <v>8</v>
      </c>
      <c r="H42" s="95"/>
      <c r="I42" s="95">
        <f t="shared" si="33"/>
        <v>8</v>
      </c>
      <c r="J42" s="96">
        <v>4.76</v>
      </c>
      <c r="K42" s="97">
        <f t="shared" si="34"/>
        <v>2720.8159999999998</v>
      </c>
      <c r="L42" s="230"/>
      <c r="M42" s="98"/>
      <c r="N42" s="100"/>
      <c r="O42" s="100"/>
      <c r="P42" s="100"/>
      <c r="Q42">
        <v>6005</v>
      </c>
      <c r="R42">
        <v>11</v>
      </c>
    </row>
    <row r="43" spans="1:18" ht="27" x14ac:dyDescent="0.15">
      <c r="A43" s="3">
        <v>21</v>
      </c>
      <c r="B43" s="93" t="s">
        <v>144</v>
      </c>
      <c r="C43" s="99">
        <v>29450</v>
      </c>
      <c r="D43" s="9" t="s">
        <v>78</v>
      </c>
      <c r="E43" s="9" t="s">
        <v>81</v>
      </c>
      <c r="F43" s="52" t="s">
        <v>18</v>
      </c>
      <c r="G43" s="131">
        <v>4</v>
      </c>
      <c r="H43" s="95"/>
      <c r="I43" s="95">
        <f t="shared" ref="I43" si="35">H43+G43</f>
        <v>4</v>
      </c>
      <c r="J43" s="96">
        <v>4.76</v>
      </c>
      <c r="K43" s="97">
        <f t="shared" ref="K43" si="36">C43*I43*J43/1000</f>
        <v>560.72799999999995</v>
      </c>
      <c r="L43" s="230"/>
      <c r="M43" s="98"/>
      <c r="N43" s="100"/>
      <c r="O43" s="100"/>
      <c r="P43" s="100"/>
      <c r="Q43">
        <v>6005</v>
      </c>
      <c r="R43">
        <v>11</v>
      </c>
    </row>
    <row r="44" spans="1:18" ht="27" x14ac:dyDescent="0.15">
      <c r="A44" s="3">
        <v>21</v>
      </c>
      <c r="B44" s="93" t="s">
        <v>144</v>
      </c>
      <c r="C44" s="99">
        <v>36630</v>
      </c>
      <c r="D44" s="9" t="s">
        <v>78</v>
      </c>
      <c r="E44" s="9" t="s">
        <v>81</v>
      </c>
      <c r="F44" s="52" t="s">
        <v>18</v>
      </c>
      <c r="G44" s="131">
        <v>4</v>
      </c>
      <c r="H44" s="95"/>
      <c r="I44" s="95">
        <f t="shared" ref="I44" si="37">H44+G44</f>
        <v>4</v>
      </c>
      <c r="J44" s="96">
        <v>4.76</v>
      </c>
      <c r="K44" s="97">
        <f t="shared" ref="K44" si="38">C44*I44*J44/1000</f>
        <v>697.43520000000001</v>
      </c>
      <c r="L44" s="230"/>
      <c r="M44" s="98"/>
      <c r="N44" s="100"/>
      <c r="O44" s="100"/>
      <c r="P44" s="100"/>
      <c r="Q44">
        <v>6005</v>
      </c>
      <c r="R44">
        <v>11</v>
      </c>
    </row>
    <row r="45" spans="1:18" ht="27" x14ac:dyDescent="0.15">
      <c r="A45" s="3">
        <v>22</v>
      </c>
      <c r="B45" s="93" t="s">
        <v>145</v>
      </c>
      <c r="C45" s="99">
        <v>900</v>
      </c>
      <c r="D45" s="9" t="s">
        <v>78</v>
      </c>
      <c r="E45" s="9" t="s">
        <v>81</v>
      </c>
      <c r="F45" s="52" t="s">
        <v>18</v>
      </c>
      <c r="G45" s="132">
        <f>(6*2+6*2+6+8*2+2*2+4*2+2+10*2+20*2)+(8*2+24*2+8*2+4*2+4*2)</f>
        <v>216</v>
      </c>
      <c r="H45" s="95"/>
      <c r="I45" s="95">
        <f t="shared" si="0"/>
        <v>216</v>
      </c>
      <c r="J45" s="96">
        <v>4.1399999999999997</v>
      </c>
      <c r="K45" s="97">
        <f t="shared" si="19"/>
        <v>804.81599999999992</v>
      </c>
      <c r="L45" s="230"/>
      <c r="M45" s="98"/>
      <c r="N45" s="100"/>
      <c r="O45" s="100"/>
      <c r="P45" s="100"/>
      <c r="Q45">
        <v>5955</v>
      </c>
      <c r="R45">
        <v>11</v>
      </c>
    </row>
    <row r="46" spans="1:18" ht="27" x14ac:dyDescent="0.15">
      <c r="A46" s="3">
        <v>23</v>
      </c>
      <c r="B46" s="93" t="s">
        <v>146</v>
      </c>
      <c r="C46" s="99">
        <v>680</v>
      </c>
      <c r="D46" s="9" t="s">
        <v>78</v>
      </c>
      <c r="E46" s="9" t="s">
        <v>81</v>
      </c>
      <c r="F46" s="52" t="s">
        <v>18</v>
      </c>
      <c r="G46" s="132">
        <f>(6+2*4+6*7+20*16+4*3+10*3+8*6)+(8*10+24*13+8*11+4*9)</f>
        <v>982</v>
      </c>
      <c r="H46" s="95"/>
      <c r="I46" s="95">
        <f t="shared" si="0"/>
        <v>982</v>
      </c>
      <c r="J46" s="96">
        <v>4.1399999999999997</v>
      </c>
      <c r="K46" s="97">
        <f t="shared" si="19"/>
        <v>2764.5263999999997</v>
      </c>
      <c r="L46" s="230"/>
      <c r="M46" s="98"/>
      <c r="N46" s="100"/>
      <c r="O46" s="100"/>
      <c r="P46" s="100"/>
      <c r="Q46">
        <v>4100</v>
      </c>
      <c r="R46">
        <v>16</v>
      </c>
    </row>
    <row r="47" spans="1:18" ht="15" x14ac:dyDescent="0.15">
      <c r="A47" s="3">
        <v>27</v>
      </c>
      <c r="B47" s="93" t="s">
        <v>255</v>
      </c>
      <c r="C47" s="99">
        <v>90</v>
      </c>
      <c r="D47" s="9" t="s">
        <v>82</v>
      </c>
      <c r="E47" s="38" t="s">
        <v>24</v>
      </c>
      <c r="F47" s="52" t="s">
        <v>15</v>
      </c>
      <c r="G47" s="132">
        <f>G45+G46</f>
        <v>1198</v>
      </c>
      <c r="H47" s="95"/>
      <c r="I47" s="95">
        <f t="shared" si="0"/>
        <v>1198</v>
      </c>
      <c r="J47" s="99">
        <v>17.8</v>
      </c>
      <c r="K47" s="97">
        <f t="shared" si="19"/>
        <v>1919.1959999999999</v>
      </c>
      <c r="L47" s="230"/>
      <c r="M47" s="98">
        <f>32*7+4+4*9+29*9</f>
        <v>525</v>
      </c>
      <c r="N47" s="100"/>
      <c r="O47" s="100">
        <f>51100*2+55700*4+48900*8+46600*6</f>
        <v>995800</v>
      </c>
      <c r="P47" s="100"/>
      <c r="Q47">
        <v>3925</v>
      </c>
      <c r="R47">
        <v>3</v>
      </c>
    </row>
    <row r="48" spans="1:18" ht="15" x14ac:dyDescent="0.15">
      <c r="A48" s="3">
        <v>28</v>
      </c>
      <c r="B48" s="101" t="s">
        <v>83</v>
      </c>
      <c r="C48" s="99">
        <v>1400</v>
      </c>
      <c r="D48" s="9" t="s">
        <v>82</v>
      </c>
      <c r="E48" s="38" t="s">
        <v>24</v>
      </c>
      <c r="F48" s="52" t="s">
        <v>18</v>
      </c>
      <c r="G48" s="132">
        <v>1477</v>
      </c>
      <c r="H48" s="102"/>
      <c r="I48" s="95">
        <f t="shared" si="0"/>
        <v>1477</v>
      </c>
      <c r="J48" s="103">
        <v>0.61599999999999999</v>
      </c>
      <c r="K48" s="97">
        <f t="shared" si="19"/>
        <v>1273.7648000000002</v>
      </c>
      <c r="L48" s="230"/>
      <c r="M48" s="98"/>
      <c r="N48" s="100"/>
      <c r="O48" s="100"/>
      <c r="P48" s="100"/>
      <c r="Q48">
        <v>4025</v>
      </c>
      <c r="R48">
        <v>3</v>
      </c>
    </row>
    <row r="49" spans="1:18" ht="15" x14ac:dyDescent="0.15">
      <c r="A49" s="3">
        <v>31</v>
      </c>
      <c r="B49" s="93" t="s">
        <v>147</v>
      </c>
      <c r="C49" s="99">
        <v>1200</v>
      </c>
      <c r="D49" s="9" t="s">
        <v>82</v>
      </c>
      <c r="E49" s="38" t="s">
        <v>24</v>
      </c>
      <c r="F49" s="52" t="s">
        <v>18</v>
      </c>
      <c r="G49" s="132">
        <v>928</v>
      </c>
      <c r="H49" s="102"/>
      <c r="I49" s="95">
        <f t="shared" si="0"/>
        <v>928</v>
      </c>
      <c r="J49" s="103">
        <v>1.381</v>
      </c>
      <c r="K49" s="97">
        <f t="shared" si="19"/>
        <v>1537.8816000000002</v>
      </c>
      <c r="L49" s="230"/>
      <c r="M49" s="98"/>
      <c r="N49" s="100"/>
      <c r="O49" s="100"/>
      <c r="P49" s="100"/>
      <c r="Q49">
        <v>5900</v>
      </c>
      <c r="R49">
        <v>5</v>
      </c>
    </row>
    <row r="50" spans="1:18" ht="15" x14ac:dyDescent="0.15">
      <c r="A50" s="3">
        <v>34</v>
      </c>
      <c r="B50" s="101" t="s">
        <v>84</v>
      </c>
      <c r="C50" s="104" t="s">
        <v>85</v>
      </c>
      <c r="D50" s="9" t="s">
        <v>82</v>
      </c>
      <c r="E50" s="38" t="s">
        <v>24</v>
      </c>
      <c r="F50" s="52" t="s">
        <v>18</v>
      </c>
      <c r="G50" s="132">
        <v>698</v>
      </c>
      <c r="H50" s="102"/>
      <c r="I50" s="95">
        <f t="shared" si="0"/>
        <v>698</v>
      </c>
      <c r="J50" s="103">
        <v>0.61599999999999999</v>
      </c>
      <c r="K50" s="97">
        <f>I50*J50*1.8</f>
        <v>773.94240000000002</v>
      </c>
      <c r="L50" s="230"/>
      <c r="M50" s="98"/>
      <c r="N50" s="100"/>
      <c r="O50" s="100"/>
      <c r="P50" s="100"/>
    </row>
    <row r="51" spans="1:18" ht="15" x14ac:dyDescent="0.15">
      <c r="A51" s="3">
        <v>35</v>
      </c>
      <c r="B51" s="93" t="s">
        <v>254</v>
      </c>
      <c r="C51" s="135">
        <v>6000</v>
      </c>
      <c r="D51" s="9" t="s">
        <v>82</v>
      </c>
      <c r="E51" s="38" t="s">
        <v>24</v>
      </c>
      <c r="F51" s="52" t="s">
        <v>18</v>
      </c>
      <c r="G51" s="132">
        <f>10+4+4+3+5+5+5+10+8+7+7+7+7+7+7+13+7+7+6+13+7+7+7</f>
        <v>163</v>
      </c>
      <c r="H51" s="102"/>
      <c r="I51" s="95">
        <f t="shared" si="0"/>
        <v>163</v>
      </c>
      <c r="J51" s="103">
        <v>3.1070000000000002</v>
      </c>
      <c r="K51" s="97">
        <f>J51*I51*C51/1000</f>
        <v>3038.6460000000002</v>
      </c>
      <c r="L51" s="230"/>
      <c r="M51" s="98"/>
      <c r="N51" s="100"/>
      <c r="O51" s="100"/>
    </row>
    <row r="52" spans="1:18" ht="15" x14ac:dyDescent="0.15">
      <c r="A52" s="3">
        <v>37</v>
      </c>
      <c r="B52" s="93" t="s">
        <v>254</v>
      </c>
      <c r="C52" s="135">
        <v>4000</v>
      </c>
      <c r="D52" s="9" t="s">
        <v>82</v>
      </c>
      <c r="E52" s="38" t="s">
        <v>24</v>
      </c>
      <c r="F52" s="52" t="s">
        <v>18</v>
      </c>
      <c r="G52" s="132">
        <v>10</v>
      </c>
      <c r="H52" s="102"/>
      <c r="I52" s="95">
        <f t="shared" si="0"/>
        <v>10</v>
      </c>
      <c r="J52" s="103">
        <v>3.1070000000000002</v>
      </c>
      <c r="K52" s="97">
        <f t="shared" ref="K52:K63" si="39">C52*I52*J52/1000</f>
        <v>124.28000000000002</v>
      </c>
      <c r="L52" s="230"/>
      <c r="M52" s="98"/>
      <c r="N52" s="100">
        <f t="shared" ref="N52" si="40">C52*I52</f>
        <v>40000</v>
      </c>
      <c r="O52" s="100"/>
    </row>
    <row r="53" spans="1:18" ht="15" x14ac:dyDescent="0.15">
      <c r="A53" s="3">
        <v>40</v>
      </c>
      <c r="B53" s="93" t="s">
        <v>254</v>
      </c>
      <c r="C53" s="135">
        <v>6005</v>
      </c>
      <c r="D53" s="9" t="s">
        <v>82</v>
      </c>
      <c r="E53" s="38" t="s">
        <v>24</v>
      </c>
      <c r="F53" s="52" t="s">
        <v>18</v>
      </c>
      <c r="G53" s="132">
        <v>12</v>
      </c>
      <c r="H53" s="102"/>
      <c r="I53" s="95">
        <f t="shared" si="0"/>
        <v>12</v>
      </c>
      <c r="J53" s="103">
        <v>3.1070000000000002</v>
      </c>
      <c r="K53" s="97">
        <f t="shared" si="39"/>
        <v>223.89042000000001</v>
      </c>
      <c r="L53" s="230"/>
      <c r="M53" s="98"/>
      <c r="N53" s="100"/>
      <c r="O53" s="100"/>
    </row>
    <row r="54" spans="1:18" ht="15" x14ac:dyDescent="0.15">
      <c r="A54" s="3">
        <v>41</v>
      </c>
      <c r="B54" s="93" t="s">
        <v>254</v>
      </c>
      <c r="C54" s="135">
        <v>5955</v>
      </c>
      <c r="D54" s="9" t="s">
        <v>82</v>
      </c>
      <c r="E54" s="38" t="s">
        <v>24</v>
      </c>
      <c r="F54" s="52" t="s">
        <v>18</v>
      </c>
      <c r="G54" s="132">
        <v>11</v>
      </c>
      <c r="H54" s="102"/>
      <c r="I54" s="95">
        <f t="shared" si="0"/>
        <v>11</v>
      </c>
      <c r="J54" s="103">
        <v>3.1070000000000002</v>
      </c>
      <c r="K54" s="97">
        <f t="shared" si="39"/>
        <v>203.524035</v>
      </c>
      <c r="L54" s="230"/>
      <c r="M54" s="98"/>
      <c r="N54" s="100"/>
      <c r="O54" s="100"/>
    </row>
    <row r="55" spans="1:18" ht="15" x14ac:dyDescent="0.15">
      <c r="A55" s="3">
        <v>45</v>
      </c>
      <c r="B55" s="93" t="s">
        <v>254</v>
      </c>
      <c r="C55" s="135">
        <v>6750</v>
      </c>
      <c r="D55" s="9" t="s">
        <v>82</v>
      </c>
      <c r="E55" s="38" t="s">
        <v>24</v>
      </c>
      <c r="F55" s="52" t="s">
        <v>18</v>
      </c>
      <c r="G55" s="132">
        <v>8</v>
      </c>
      <c r="H55" s="102"/>
      <c r="I55" s="95">
        <f t="shared" si="0"/>
        <v>8</v>
      </c>
      <c r="J55" s="103">
        <v>3.1070000000000002</v>
      </c>
      <c r="K55" s="97">
        <f t="shared" si="39"/>
        <v>167.77799999999999</v>
      </c>
      <c r="L55" s="230"/>
      <c r="M55" s="98"/>
      <c r="N55" s="100"/>
      <c r="O55" s="100"/>
    </row>
    <row r="56" spans="1:18" ht="15" x14ac:dyDescent="0.15">
      <c r="A56" s="3">
        <v>46</v>
      </c>
      <c r="B56" s="93" t="s">
        <v>254</v>
      </c>
      <c r="C56" s="135">
        <v>5600</v>
      </c>
      <c r="D56" s="9" t="s">
        <v>82</v>
      </c>
      <c r="E56" s="38" t="s">
        <v>24</v>
      </c>
      <c r="F56" s="52" t="s">
        <v>18</v>
      </c>
      <c r="G56" s="132">
        <v>8</v>
      </c>
      <c r="H56" s="102"/>
      <c r="I56" s="95">
        <f t="shared" si="0"/>
        <v>8</v>
      </c>
      <c r="J56" s="103">
        <v>3.1070000000000002</v>
      </c>
      <c r="K56" s="97">
        <f t="shared" si="39"/>
        <v>139.1936</v>
      </c>
      <c r="L56" s="230"/>
      <c r="M56" s="98"/>
      <c r="N56" s="100"/>
      <c r="O56" s="100"/>
      <c r="P56" s="100"/>
    </row>
    <row r="57" spans="1:18" ht="15" x14ac:dyDescent="0.15">
      <c r="A57" s="3">
        <v>47</v>
      </c>
      <c r="B57" s="93" t="s">
        <v>254</v>
      </c>
      <c r="C57" s="135">
        <v>5450</v>
      </c>
      <c r="D57" s="9" t="s">
        <v>82</v>
      </c>
      <c r="E57" s="38" t="s">
        <v>24</v>
      </c>
      <c r="F57" s="52" t="s">
        <v>18</v>
      </c>
      <c r="G57" s="132">
        <v>8</v>
      </c>
      <c r="H57" s="102"/>
      <c r="I57" s="95">
        <f t="shared" si="0"/>
        <v>8</v>
      </c>
      <c r="J57" s="103">
        <v>3.1070000000000002</v>
      </c>
      <c r="K57" s="97">
        <f t="shared" si="39"/>
        <v>135.46520000000001</v>
      </c>
      <c r="L57" s="230"/>
      <c r="M57" s="98"/>
      <c r="N57" s="100"/>
      <c r="O57" s="100"/>
      <c r="P57" s="100"/>
    </row>
    <row r="58" spans="1:18" ht="15" x14ac:dyDescent="0.15">
      <c r="A58" s="3">
        <v>48</v>
      </c>
      <c r="B58" s="93" t="s">
        <v>254</v>
      </c>
      <c r="C58" s="135">
        <v>3000</v>
      </c>
      <c r="D58" s="9" t="s">
        <v>82</v>
      </c>
      <c r="E58" s="38" t="s">
        <v>24</v>
      </c>
      <c r="F58" s="52" t="s">
        <v>18</v>
      </c>
      <c r="G58" s="132">
        <v>13</v>
      </c>
      <c r="H58" s="102"/>
      <c r="I58" s="95">
        <f t="shared" si="0"/>
        <v>13</v>
      </c>
      <c r="J58" s="103">
        <v>3.1070000000000002</v>
      </c>
      <c r="K58" s="97">
        <f t="shared" si="39"/>
        <v>121.17300000000002</v>
      </c>
      <c r="L58" s="230"/>
      <c r="M58" s="98"/>
      <c r="N58" s="100"/>
      <c r="O58" s="100"/>
      <c r="P58" s="100"/>
    </row>
    <row r="59" spans="1:18" ht="15" x14ac:dyDescent="0.15">
      <c r="A59" s="3">
        <v>49</v>
      </c>
      <c r="B59" s="93" t="s">
        <v>254</v>
      </c>
      <c r="C59" s="135">
        <v>2955</v>
      </c>
      <c r="D59" s="9" t="s">
        <v>82</v>
      </c>
      <c r="E59" s="38" t="s">
        <v>24</v>
      </c>
      <c r="F59" s="52" t="s">
        <v>18</v>
      </c>
      <c r="G59" s="132">
        <v>1</v>
      </c>
      <c r="H59" s="102"/>
      <c r="I59" s="95">
        <f t="shared" si="0"/>
        <v>1</v>
      </c>
      <c r="J59" s="103">
        <v>3.1070000000000002</v>
      </c>
      <c r="K59" s="97">
        <f t="shared" si="39"/>
        <v>9.181185000000001</v>
      </c>
      <c r="L59" s="230"/>
      <c r="M59" s="98"/>
      <c r="N59" s="100"/>
      <c r="O59" s="100"/>
      <c r="P59" s="100"/>
    </row>
    <row r="60" spans="1:18" ht="15" x14ac:dyDescent="0.15">
      <c r="A60" s="3">
        <v>50</v>
      </c>
      <c r="B60" s="93" t="s">
        <v>254</v>
      </c>
      <c r="C60" s="135">
        <v>4050</v>
      </c>
      <c r="D60" s="9" t="s">
        <v>82</v>
      </c>
      <c r="E60" s="38" t="s">
        <v>24</v>
      </c>
      <c r="F60" s="52" t="s">
        <v>18</v>
      </c>
      <c r="G60" s="132">
        <v>6</v>
      </c>
      <c r="H60" s="102"/>
      <c r="I60" s="95">
        <f t="shared" si="0"/>
        <v>6</v>
      </c>
      <c r="J60" s="103">
        <v>3.1070000000000002</v>
      </c>
      <c r="K60" s="97">
        <f t="shared" si="39"/>
        <v>75.500100000000003</v>
      </c>
      <c r="L60" s="230"/>
      <c r="M60" s="98"/>
      <c r="N60" s="100"/>
      <c r="O60" s="100"/>
      <c r="P60" s="100"/>
    </row>
    <row r="61" spans="1:18" ht="15" x14ac:dyDescent="0.15">
      <c r="A61" s="3">
        <v>51</v>
      </c>
      <c r="B61" s="93" t="s">
        <v>254</v>
      </c>
      <c r="C61" s="135">
        <v>5750</v>
      </c>
      <c r="D61" s="9" t="s">
        <v>82</v>
      </c>
      <c r="E61" s="38" t="s">
        <v>24</v>
      </c>
      <c r="F61" s="52" t="s">
        <v>18</v>
      </c>
      <c r="G61" s="132">
        <v>10</v>
      </c>
      <c r="H61" s="102"/>
      <c r="I61" s="95">
        <f t="shared" si="0"/>
        <v>10</v>
      </c>
      <c r="J61" s="103">
        <v>3.1070000000000002</v>
      </c>
      <c r="K61" s="97">
        <f t="shared" si="39"/>
        <v>178.6525</v>
      </c>
      <c r="L61" s="230"/>
      <c r="M61" s="98"/>
      <c r="N61" s="100"/>
      <c r="O61" s="100"/>
      <c r="P61" s="100"/>
    </row>
    <row r="62" spans="1:18" ht="15" x14ac:dyDescent="0.15">
      <c r="A62" s="3">
        <v>52</v>
      </c>
      <c r="B62" s="93" t="s">
        <v>254</v>
      </c>
      <c r="C62" s="135">
        <v>2600</v>
      </c>
      <c r="D62" s="9" t="s">
        <v>82</v>
      </c>
      <c r="E62" s="38" t="s">
        <v>24</v>
      </c>
      <c r="F62" s="52" t="s">
        <v>18</v>
      </c>
      <c r="G62" s="132">
        <v>13</v>
      </c>
      <c r="H62" s="102"/>
      <c r="I62" s="95">
        <f t="shared" si="0"/>
        <v>13</v>
      </c>
      <c r="J62" s="103">
        <v>3.1070000000000002</v>
      </c>
      <c r="K62" s="97">
        <f t="shared" si="39"/>
        <v>105.01660000000001</v>
      </c>
      <c r="L62" s="230"/>
      <c r="M62" s="98"/>
      <c r="N62" s="100"/>
      <c r="O62" s="100"/>
      <c r="P62" s="100"/>
    </row>
    <row r="63" spans="1:18" ht="15" x14ac:dyDescent="0.15">
      <c r="A63" s="3">
        <v>53</v>
      </c>
      <c r="B63" s="93" t="s">
        <v>254</v>
      </c>
      <c r="C63" s="135">
        <v>5400</v>
      </c>
      <c r="D63" s="9" t="s">
        <v>82</v>
      </c>
      <c r="E63" s="38" t="s">
        <v>24</v>
      </c>
      <c r="F63" s="52" t="s">
        <v>18</v>
      </c>
      <c r="G63" s="132">
        <v>4</v>
      </c>
      <c r="H63" s="102"/>
      <c r="I63" s="95">
        <f t="shared" si="0"/>
        <v>4</v>
      </c>
      <c r="J63" s="103">
        <v>3.1070000000000002</v>
      </c>
      <c r="K63" s="97">
        <f t="shared" si="39"/>
        <v>67.111200000000011</v>
      </c>
      <c r="L63" s="230"/>
      <c r="M63" s="98"/>
      <c r="N63" s="100"/>
      <c r="O63" s="100"/>
      <c r="P63" s="100"/>
    </row>
    <row r="64" spans="1:18" ht="15" x14ac:dyDescent="0.15">
      <c r="A64" s="3">
        <v>54</v>
      </c>
      <c r="B64" s="134" t="s">
        <v>148</v>
      </c>
      <c r="C64" s="104" t="s">
        <v>86</v>
      </c>
      <c r="D64" s="9" t="s">
        <v>82</v>
      </c>
      <c r="E64" s="38" t="s">
        <v>24</v>
      </c>
      <c r="F64" s="52" t="s">
        <v>18</v>
      </c>
      <c r="G64" s="137">
        <v>50</v>
      </c>
      <c r="H64" s="102"/>
      <c r="I64" s="95">
        <f t="shared" si="0"/>
        <v>50</v>
      </c>
      <c r="J64" s="103">
        <v>1.58</v>
      </c>
      <c r="K64" s="97">
        <f>3000*I64*J64/1000</f>
        <v>237</v>
      </c>
      <c r="L64" s="246"/>
      <c r="M64" s="98"/>
      <c r="N64" s="100"/>
      <c r="O64" s="100">
        <v>270000</v>
      </c>
      <c r="P64" s="100"/>
    </row>
    <row r="65" spans="1:16" ht="21" customHeight="1" x14ac:dyDescent="0.15">
      <c r="A65" s="3">
        <v>55</v>
      </c>
      <c r="B65" s="133" t="s">
        <v>149</v>
      </c>
      <c r="C65" s="104" t="s">
        <v>86</v>
      </c>
      <c r="D65" s="9" t="s">
        <v>82</v>
      </c>
      <c r="E65" s="38" t="s">
        <v>24</v>
      </c>
      <c r="F65" s="52" t="s">
        <v>18</v>
      </c>
      <c r="G65" s="137">
        <v>96</v>
      </c>
      <c r="H65" s="102"/>
      <c r="I65" s="95">
        <f t="shared" si="0"/>
        <v>96</v>
      </c>
      <c r="J65" s="103">
        <v>1.58</v>
      </c>
      <c r="K65" s="97">
        <f>8450*I65*J65/1000</f>
        <v>1281.6959999999999</v>
      </c>
      <c r="L65" s="84"/>
      <c r="M65" s="98"/>
      <c r="N65" s="100"/>
      <c r="O65" s="100">
        <v>270000</v>
      </c>
      <c r="P65" s="100"/>
    </row>
    <row r="66" spans="1:16" ht="54.75" customHeight="1" x14ac:dyDescent="0.15">
      <c r="A66" s="3">
        <v>56</v>
      </c>
      <c r="B66" s="93" t="s">
        <v>150</v>
      </c>
      <c r="C66" s="104"/>
      <c r="D66" s="9" t="s">
        <v>88</v>
      </c>
      <c r="E66" s="38" t="s">
        <v>89</v>
      </c>
      <c r="F66" s="52" t="s">
        <v>17</v>
      </c>
      <c r="G66" s="105">
        <f>G47*4+G45*12+G46*8</f>
        <v>15240</v>
      </c>
      <c r="H66" s="95">
        <f>G66*0.003</f>
        <v>45.72</v>
      </c>
      <c r="I66" s="95">
        <f t="shared" si="0"/>
        <v>15285.72</v>
      </c>
      <c r="J66" s="106">
        <v>6.8000000000000005E-2</v>
      </c>
      <c r="K66" s="97">
        <f>5600*I66*J66/1000</f>
        <v>5820.8021760000001</v>
      </c>
      <c r="L66" s="16" t="s">
        <v>90</v>
      </c>
      <c r="M66" s="98"/>
      <c r="N66" s="100"/>
      <c r="O66" s="100"/>
      <c r="P66" s="100"/>
    </row>
    <row r="67" spans="1:16" ht="40.5" x14ac:dyDescent="0.15">
      <c r="A67" s="3">
        <v>57</v>
      </c>
      <c r="B67" s="93" t="s">
        <v>152</v>
      </c>
      <c r="C67" s="104" t="s">
        <v>151</v>
      </c>
      <c r="D67" s="9" t="s">
        <v>82</v>
      </c>
      <c r="E67" s="38" t="s">
        <v>89</v>
      </c>
      <c r="F67" s="52" t="s">
        <v>17</v>
      </c>
      <c r="G67" s="105">
        <f>(G6*13+G7*11+G8*12+G9*11+G10*9+G11*8+G12*10+G13*13+G14*8+G15*2+G16*3+G17*3+G18*2)*4</f>
        <v>1728</v>
      </c>
      <c r="H67" s="95">
        <v>10</v>
      </c>
      <c r="I67" s="95">
        <f t="shared" si="0"/>
        <v>1738</v>
      </c>
      <c r="J67" s="106">
        <v>0.22</v>
      </c>
      <c r="K67" s="97">
        <f>I67*J67</f>
        <v>382.36</v>
      </c>
      <c r="L67" s="16" t="s">
        <v>91</v>
      </c>
      <c r="M67" s="98"/>
      <c r="N67" s="100"/>
      <c r="O67" s="100"/>
      <c r="P67" s="100"/>
    </row>
    <row r="68" spans="1:16" ht="40.5" x14ac:dyDescent="0.15">
      <c r="A68" s="3">
        <v>58</v>
      </c>
      <c r="B68" s="93" t="s">
        <v>94</v>
      </c>
      <c r="C68" s="107"/>
      <c r="D68" s="9" t="s">
        <v>88</v>
      </c>
      <c r="E68" s="38" t="s">
        <v>89</v>
      </c>
      <c r="F68" s="52" t="s">
        <v>17</v>
      </c>
      <c r="G68" s="95">
        <f>(G51+G52+G53+G54+G55+G56+G57+G58+G59+G60+G61+G62+G63+G65+G64)*2</f>
        <v>826</v>
      </c>
      <c r="H68" s="95">
        <v>20</v>
      </c>
      <c r="I68" s="95">
        <f t="shared" si="0"/>
        <v>846</v>
      </c>
      <c r="J68" s="108">
        <v>0.16400000000000001</v>
      </c>
      <c r="K68" s="97">
        <f>I68*J68</f>
        <v>138.744</v>
      </c>
      <c r="L68" s="16" t="s">
        <v>95</v>
      </c>
      <c r="M68" s="98"/>
      <c r="N68" s="100"/>
      <c r="O68" s="100"/>
      <c r="P68" s="100"/>
    </row>
    <row r="69" spans="1:16" ht="15" x14ac:dyDescent="0.15">
      <c r="A69" s="3"/>
      <c r="B69" s="231" t="s">
        <v>23</v>
      </c>
      <c r="C69" s="232"/>
      <c r="D69" s="232"/>
      <c r="E69" s="232"/>
      <c r="F69" s="232"/>
      <c r="G69" s="232"/>
      <c r="H69" s="232"/>
      <c r="I69" s="232"/>
      <c r="J69" s="233"/>
      <c r="K69" s="97">
        <f>SUM(K6:K68)</f>
        <v>99814.177255999995</v>
      </c>
      <c r="L69" s="16" t="s">
        <v>96</v>
      </c>
      <c r="M69" s="98"/>
      <c r="N69" s="100">
        <f>K69/O69</f>
        <v>90.432689995832348</v>
      </c>
      <c r="O69" s="100">
        <v>1103.74</v>
      </c>
      <c r="P69" s="100"/>
    </row>
    <row r="70" spans="1:16" ht="14.25" x14ac:dyDescent="0.15">
      <c r="A70" s="3" t="s">
        <v>97</v>
      </c>
      <c r="B70" s="111" t="s">
        <v>98</v>
      </c>
      <c r="C70" s="9"/>
      <c r="D70" s="9"/>
      <c r="E70" s="38"/>
      <c r="F70" s="52"/>
      <c r="G70" s="5"/>
      <c r="H70" s="112"/>
      <c r="I70" s="5"/>
      <c r="J70" s="9"/>
      <c r="K70" s="113"/>
      <c r="L70" s="16"/>
      <c r="M70" s="98"/>
      <c r="N70" s="114"/>
      <c r="O70" s="114"/>
      <c r="P70" s="114"/>
    </row>
    <row r="71" spans="1:16" ht="15" x14ac:dyDescent="0.15">
      <c r="A71" s="3">
        <v>1</v>
      </c>
      <c r="B71" s="93" t="s">
        <v>99</v>
      </c>
      <c r="C71" s="9">
        <v>60</v>
      </c>
      <c r="D71" s="9" t="s">
        <v>100</v>
      </c>
      <c r="E71" s="38" t="s">
        <v>101</v>
      </c>
      <c r="F71" s="110" t="s">
        <v>15</v>
      </c>
      <c r="G71" s="95">
        <f>5*(3-1)*2+3*(42-1)*2+3*(14-1)*2+3*(9-1)*2+10*(92-1)*2+1*(28-1)*2+4*(47-1)*2+11*(68-1)*2+1*(8-1)*2+2*(29-1)*2+4*(30-1)*2+12*(82-1)*2+4*(73-1)*2+2*(31-1)*2+2*(37-1)*2+3*(66-1)*2+1*(64-1)*2</f>
        <v>7766</v>
      </c>
      <c r="H71" s="115">
        <f>0.003*G71</f>
        <v>23.298000000000002</v>
      </c>
      <c r="I71" s="95">
        <f t="shared" ref="I71:I82" si="41">H71+G71</f>
        <v>7789.2979999999998</v>
      </c>
      <c r="J71" s="116">
        <v>5.7000000000000002E-2</v>
      </c>
      <c r="K71" s="117">
        <f t="shared" ref="K71:K77" si="42">I71*J71</f>
        <v>443.98998599999999</v>
      </c>
      <c r="L71" s="118"/>
      <c r="M71" s="98"/>
      <c r="N71" s="100"/>
      <c r="O71" s="100"/>
      <c r="P71" s="100"/>
    </row>
    <row r="72" spans="1:16" ht="15" x14ac:dyDescent="0.15">
      <c r="A72" s="3">
        <v>2</v>
      </c>
      <c r="B72" s="93" t="s">
        <v>102</v>
      </c>
      <c r="C72" s="119">
        <v>60</v>
      </c>
      <c r="D72" s="9" t="s">
        <v>100</v>
      </c>
      <c r="E72" s="38" t="s">
        <v>101</v>
      </c>
      <c r="F72" s="110" t="s">
        <v>15</v>
      </c>
      <c r="G72" s="132">
        <f>80*2</f>
        <v>160</v>
      </c>
      <c r="H72" s="95">
        <v>5</v>
      </c>
      <c r="I72" s="95">
        <f t="shared" si="41"/>
        <v>165</v>
      </c>
      <c r="J72" s="116">
        <v>4.8000000000000001E-2</v>
      </c>
      <c r="K72" s="117">
        <f t="shared" si="42"/>
        <v>7.92</v>
      </c>
      <c r="L72" s="118"/>
      <c r="M72" s="92">
        <v>8</v>
      </c>
      <c r="N72" s="92">
        <f>472-8</f>
        <v>464</v>
      </c>
      <c r="O72" s="100">
        <f>(N72+M72)/4</f>
        <v>118</v>
      </c>
      <c r="P72" s="100"/>
    </row>
    <row r="73" spans="1:16" ht="15" x14ac:dyDescent="0.15">
      <c r="A73" s="3">
        <v>3</v>
      </c>
      <c r="B73" s="93" t="s">
        <v>103</v>
      </c>
      <c r="C73" s="94">
        <v>60</v>
      </c>
      <c r="D73" s="9" t="s">
        <v>100</v>
      </c>
      <c r="E73" s="38" t="s">
        <v>101</v>
      </c>
      <c r="F73" s="110" t="s">
        <v>15</v>
      </c>
      <c r="G73" s="95">
        <f>G80*2</f>
        <v>816</v>
      </c>
      <c r="H73" s="95">
        <v>5</v>
      </c>
      <c r="I73" s="95">
        <f t="shared" si="41"/>
        <v>821</v>
      </c>
      <c r="J73" s="38">
        <v>5.7000000000000002E-2</v>
      </c>
      <c r="K73" s="52">
        <f t="shared" si="42"/>
        <v>46.797000000000004</v>
      </c>
      <c r="L73" s="16"/>
      <c r="M73" s="92">
        <v>6</v>
      </c>
      <c r="N73" s="92">
        <f>336-6</f>
        <v>330</v>
      </c>
      <c r="O73" s="100">
        <f>(N73+M73)/3</f>
        <v>112</v>
      </c>
      <c r="P73" s="100"/>
    </row>
    <row r="74" spans="1:16" ht="15" x14ac:dyDescent="0.15">
      <c r="A74" s="3">
        <v>4</v>
      </c>
      <c r="B74" s="93" t="s">
        <v>104</v>
      </c>
      <c r="C74" s="94">
        <v>60</v>
      </c>
      <c r="D74" s="9" t="s">
        <v>100</v>
      </c>
      <c r="E74" s="38" t="s">
        <v>101</v>
      </c>
      <c r="F74" s="110" t="s">
        <v>15</v>
      </c>
      <c r="G74" s="95">
        <v>36</v>
      </c>
      <c r="H74" s="95">
        <v>1</v>
      </c>
      <c r="I74" s="95">
        <f t="shared" si="41"/>
        <v>37</v>
      </c>
      <c r="J74" s="116">
        <v>4.8000000000000001E-2</v>
      </c>
      <c r="K74" s="52">
        <f t="shared" si="42"/>
        <v>1.776</v>
      </c>
      <c r="L74" s="16"/>
      <c r="M74" s="92">
        <v>6</v>
      </c>
      <c r="N74" s="92">
        <f>336-6</f>
        <v>330</v>
      </c>
      <c r="O74" s="100">
        <f>(N74+M74)/3</f>
        <v>112</v>
      </c>
      <c r="P74" s="100"/>
    </row>
    <row r="75" spans="1:16" ht="15" x14ac:dyDescent="0.15">
      <c r="A75" s="3">
        <v>5</v>
      </c>
      <c r="B75" s="93" t="s">
        <v>105</v>
      </c>
      <c r="C75" s="94" t="s">
        <v>106</v>
      </c>
      <c r="D75" s="9" t="s">
        <v>100</v>
      </c>
      <c r="E75" s="38" t="s">
        <v>101</v>
      </c>
      <c r="F75" s="110" t="s">
        <v>15</v>
      </c>
      <c r="G75" s="95">
        <f>G71+G72+G73+G74</f>
        <v>8778</v>
      </c>
      <c r="H75" s="95">
        <v>20</v>
      </c>
      <c r="I75" s="95">
        <f t="shared" si="41"/>
        <v>8798</v>
      </c>
      <c r="J75" s="116">
        <v>0.02</v>
      </c>
      <c r="K75" s="120">
        <f t="shared" si="42"/>
        <v>175.96</v>
      </c>
      <c r="L75" s="16"/>
      <c r="M75" s="92">
        <v>6</v>
      </c>
      <c r="N75" s="92">
        <f>336-6</f>
        <v>330</v>
      </c>
      <c r="O75" s="100">
        <f>(N75+M75)/3</f>
        <v>112</v>
      </c>
      <c r="P75" s="100"/>
    </row>
    <row r="76" spans="1:16" ht="15" x14ac:dyDescent="0.15">
      <c r="A76" s="3">
        <v>6</v>
      </c>
      <c r="B76" s="93" t="s">
        <v>107</v>
      </c>
      <c r="C76" s="94" t="s">
        <v>108</v>
      </c>
      <c r="D76" s="94" t="s">
        <v>20</v>
      </c>
      <c r="E76" s="94"/>
      <c r="F76" s="38" t="s">
        <v>17</v>
      </c>
      <c r="G76" s="95">
        <f>G71+G72+G73+G74</f>
        <v>8778</v>
      </c>
      <c r="H76" s="95">
        <v>20</v>
      </c>
      <c r="I76" s="95">
        <f t="shared" si="41"/>
        <v>8798</v>
      </c>
      <c r="J76" s="121">
        <v>0.02</v>
      </c>
      <c r="K76" s="122">
        <f t="shared" si="42"/>
        <v>175.96</v>
      </c>
      <c r="L76" s="16"/>
      <c r="M76" s="92">
        <v>6</v>
      </c>
      <c r="N76" s="92">
        <f>336-6</f>
        <v>330</v>
      </c>
      <c r="O76" s="100">
        <f>(N76+M76)/3</f>
        <v>112</v>
      </c>
      <c r="P76" s="100"/>
    </row>
    <row r="77" spans="1:16" ht="15" x14ac:dyDescent="0.15">
      <c r="A77" s="3">
        <v>7</v>
      </c>
      <c r="B77" s="93" t="s">
        <v>109</v>
      </c>
      <c r="C77" s="94" t="s">
        <v>110</v>
      </c>
      <c r="D77" s="94" t="s">
        <v>111</v>
      </c>
      <c r="E77" s="94"/>
      <c r="F77" s="109" t="s">
        <v>15</v>
      </c>
      <c r="G77" s="95">
        <f>G76*4</f>
        <v>35112</v>
      </c>
      <c r="H77" s="95">
        <v>100</v>
      </c>
      <c r="I77" s="95">
        <f t="shared" si="41"/>
        <v>35212</v>
      </c>
      <c r="J77" s="123">
        <v>5.0000000000000001E-3</v>
      </c>
      <c r="K77" s="122">
        <f t="shared" si="42"/>
        <v>176.06</v>
      </c>
      <c r="L77" s="16"/>
      <c r="M77" s="92">
        <v>6</v>
      </c>
      <c r="N77" s="92">
        <f>336-6</f>
        <v>330</v>
      </c>
      <c r="O77" s="100">
        <f>(N77+M77)/3</f>
        <v>112</v>
      </c>
      <c r="P77" s="100"/>
    </row>
    <row r="78" spans="1:16" ht="94.5" x14ac:dyDescent="0.15">
      <c r="A78" s="3">
        <v>8</v>
      </c>
      <c r="B78" s="93" t="s">
        <v>112</v>
      </c>
      <c r="C78" s="109">
        <f>52.05*4+40.19*11+32.91*4+40.19*10+30.61*19+23.72*2+33.29*17+45.16+52.44*9+50.14*22+52.45*65+42.86*7+28.7*8</f>
        <v>7937.8600000000006</v>
      </c>
      <c r="D78" s="94" t="s">
        <v>113</v>
      </c>
      <c r="E78" s="94" t="s">
        <v>114</v>
      </c>
      <c r="F78" s="38" t="s">
        <v>115</v>
      </c>
      <c r="G78" s="95">
        <v>1</v>
      </c>
      <c r="H78" s="95">
        <v>0</v>
      </c>
      <c r="I78" s="95">
        <f t="shared" si="41"/>
        <v>1</v>
      </c>
      <c r="J78" s="94">
        <v>1.8</v>
      </c>
      <c r="K78" s="122">
        <f>I78*J78*C78</f>
        <v>14288.148000000001</v>
      </c>
      <c r="L78" s="16" t="s">
        <v>116</v>
      </c>
      <c r="M78" s="98"/>
      <c r="N78" s="100"/>
      <c r="O78" s="100"/>
      <c r="P78" s="100"/>
    </row>
    <row r="79" spans="1:16" ht="15" x14ac:dyDescent="0.15">
      <c r="A79" s="3">
        <v>9</v>
      </c>
      <c r="B79" s="93" t="s">
        <v>117</v>
      </c>
      <c r="C79" s="124">
        <v>1080</v>
      </c>
      <c r="D79" s="94" t="s">
        <v>113</v>
      </c>
      <c r="E79" s="94" t="s">
        <v>114</v>
      </c>
      <c r="F79" s="38" t="s">
        <v>15</v>
      </c>
      <c r="G79" s="95">
        <f>3*5+42*3+174*8+165*2+148*1+138*2+143*1+112*4+96+95*2+72</f>
        <v>3236</v>
      </c>
      <c r="H79" s="95">
        <v>3</v>
      </c>
      <c r="I79" s="95">
        <f t="shared" si="41"/>
        <v>3239</v>
      </c>
      <c r="J79" s="125">
        <v>0.9</v>
      </c>
      <c r="K79" s="122">
        <f>I79*J79</f>
        <v>2915.1</v>
      </c>
      <c r="L79" s="16"/>
      <c r="M79" s="98"/>
      <c r="N79" s="100"/>
      <c r="O79" s="100"/>
      <c r="P79" s="100"/>
    </row>
    <row r="80" spans="1:16" ht="27" x14ac:dyDescent="0.15">
      <c r="A80" s="3">
        <v>10</v>
      </c>
      <c r="B80" s="93" t="s">
        <v>153</v>
      </c>
      <c r="C80" s="94" t="s">
        <v>154</v>
      </c>
      <c r="D80" s="94" t="s">
        <v>113</v>
      </c>
      <c r="E80" s="94" t="s">
        <v>114</v>
      </c>
      <c r="F80" s="38" t="s">
        <v>26</v>
      </c>
      <c r="G80" s="95">
        <v>408</v>
      </c>
      <c r="H80" s="95">
        <v>3</v>
      </c>
      <c r="I80" s="95">
        <f t="shared" si="41"/>
        <v>411</v>
      </c>
      <c r="J80" s="125">
        <v>3.5</v>
      </c>
      <c r="K80" s="122">
        <f>I80*J80</f>
        <v>1438.5</v>
      </c>
      <c r="L80" s="16" t="s">
        <v>118</v>
      </c>
      <c r="M80" s="98"/>
      <c r="N80" s="100"/>
      <c r="O80" s="100"/>
      <c r="P80" s="100"/>
    </row>
    <row r="81" spans="1:16" ht="27" x14ac:dyDescent="0.15">
      <c r="A81" s="3">
        <v>12</v>
      </c>
      <c r="B81" s="93" t="s">
        <v>119</v>
      </c>
      <c r="C81" s="94" t="s">
        <v>154</v>
      </c>
      <c r="D81" s="94" t="s">
        <v>113</v>
      </c>
      <c r="E81" s="94" t="s">
        <v>114</v>
      </c>
      <c r="F81" s="38" t="s">
        <v>26</v>
      </c>
      <c r="G81" s="95">
        <v>289</v>
      </c>
      <c r="H81" s="95">
        <v>3</v>
      </c>
      <c r="I81" s="95">
        <f t="shared" si="41"/>
        <v>292</v>
      </c>
      <c r="J81" s="125">
        <v>3.5</v>
      </c>
      <c r="K81" s="122">
        <f>I81*J81</f>
        <v>1022</v>
      </c>
      <c r="L81" s="16" t="s">
        <v>118</v>
      </c>
      <c r="M81" s="92">
        <v>8</v>
      </c>
      <c r="N81" s="92">
        <f>472-8</f>
        <v>464</v>
      </c>
      <c r="O81" s="100">
        <f>(N81+M81)/4</f>
        <v>118</v>
      </c>
      <c r="P81" s="100"/>
    </row>
    <row r="82" spans="1:16" ht="15" x14ac:dyDescent="0.15">
      <c r="A82" s="3">
        <v>13</v>
      </c>
      <c r="B82" s="93" t="s">
        <v>120</v>
      </c>
      <c r="C82" s="126"/>
      <c r="D82" s="94" t="s">
        <v>113</v>
      </c>
      <c r="E82" s="94" t="s">
        <v>114</v>
      </c>
      <c r="F82" s="38" t="s">
        <v>15</v>
      </c>
      <c r="G82" s="95">
        <f>G80-1+G81-1</f>
        <v>695</v>
      </c>
      <c r="H82" s="95">
        <v>5</v>
      </c>
      <c r="I82" s="95">
        <f t="shared" si="41"/>
        <v>700</v>
      </c>
      <c r="J82" s="125">
        <v>1</v>
      </c>
      <c r="K82" s="122">
        <f>I82*J82</f>
        <v>700</v>
      </c>
      <c r="L82" s="16"/>
      <c r="M82" s="92">
        <v>6</v>
      </c>
      <c r="N82" s="92">
        <f t="shared" ref="N82:N87" si="43">336-6</f>
        <v>330</v>
      </c>
      <c r="O82" s="100">
        <f t="shared" ref="O82:O87" si="44">(N82+M82)/3</f>
        <v>112</v>
      </c>
      <c r="P82" s="100"/>
    </row>
    <row r="83" spans="1:16" ht="15" x14ac:dyDescent="0.15">
      <c r="A83" s="3">
        <v>14</v>
      </c>
      <c r="B83" s="93" t="s">
        <v>121</v>
      </c>
      <c r="C83" s="38">
        <v>400000</v>
      </c>
      <c r="D83" s="94" t="s">
        <v>113</v>
      </c>
      <c r="E83" s="94" t="s">
        <v>114</v>
      </c>
      <c r="F83" s="38" t="s">
        <v>122</v>
      </c>
      <c r="G83" s="95">
        <v>1</v>
      </c>
      <c r="H83" s="95"/>
      <c r="I83" s="95">
        <v>1</v>
      </c>
      <c r="J83" s="125">
        <v>5.3</v>
      </c>
      <c r="K83" s="122">
        <f>J83*C83/1000</f>
        <v>2120</v>
      </c>
      <c r="L83" s="16"/>
      <c r="M83" s="92">
        <v>6</v>
      </c>
      <c r="N83" s="92">
        <f t="shared" si="43"/>
        <v>330</v>
      </c>
      <c r="O83" s="100">
        <f t="shared" si="44"/>
        <v>112</v>
      </c>
      <c r="P83" s="100"/>
    </row>
    <row r="84" spans="1:16" ht="15" x14ac:dyDescent="0.15">
      <c r="A84" s="3">
        <v>15</v>
      </c>
      <c r="B84" s="93" t="s">
        <v>123</v>
      </c>
      <c r="C84" s="38">
        <v>332500</v>
      </c>
      <c r="D84" s="94" t="s">
        <v>113</v>
      </c>
      <c r="E84" s="94" t="s">
        <v>114</v>
      </c>
      <c r="F84" s="38" t="s">
        <v>122</v>
      </c>
      <c r="G84" s="95">
        <v>1</v>
      </c>
      <c r="H84" s="95"/>
      <c r="I84" s="95">
        <v>1</v>
      </c>
      <c r="J84" s="125">
        <v>6</v>
      </c>
      <c r="K84" s="122">
        <f>J84*C84/1000</f>
        <v>1995</v>
      </c>
      <c r="L84" s="16"/>
      <c r="M84" s="92">
        <v>6</v>
      </c>
      <c r="N84" s="92">
        <f t="shared" si="43"/>
        <v>330</v>
      </c>
      <c r="O84" s="100">
        <f t="shared" si="44"/>
        <v>112</v>
      </c>
      <c r="P84" s="100"/>
    </row>
    <row r="85" spans="1:16" ht="15" x14ac:dyDescent="0.15">
      <c r="A85" s="3">
        <v>16</v>
      </c>
      <c r="B85" s="93" t="s">
        <v>124</v>
      </c>
      <c r="C85" s="38">
        <v>1435</v>
      </c>
      <c r="D85" s="94" t="s">
        <v>82</v>
      </c>
      <c r="E85" s="94" t="s">
        <v>24</v>
      </c>
      <c r="F85" s="38" t="s">
        <v>15</v>
      </c>
      <c r="G85" s="95">
        <f>C83/1134</f>
        <v>352.73368606701939</v>
      </c>
      <c r="H85" s="95">
        <v>5</v>
      </c>
      <c r="I85" s="95">
        <f t="shared" ref="I85:I94" si="45">H85+G85</f>
        <v>357.73368606701939</v>
      </c>
      <c r="J85" s="125">
        <v>2.81</v>
      </c>
      <c r="K85" s="38">
        <f>J85*I85</f>
        <v>1005.2316578483245</v>
      </c>
      <c r="L85" s="16"/>
      <c r="M85" s="92">
        <v>6</v>
      </c>
      <c r="N85" s="92">
        <f t="shared" si="43"/>
        <v>330</v>
      </c>
      <c r="O85" s="100">
        <f t="shared" si="44"/>
        <v>112</v>
      </c>
      <c r="P85" s="100"/>
    </row>
    <row r="86" spans="1:16" ht="15" x14ac:dyDescent="0.15">
      <c r="A86" s="3">
        <v>17</v>
      </c>
      <c r="B86" s="93" t="s">
        <v>125</v>
      </c>
      <c r="C86" s="38">
        <v>800</v>
      </c>
      <c r="D86" s="94" t="s">
        <v>82</v>
      </c>
      <c r="E86" s="94" t="s">
        <v>24</v>
      </c>
      <c r="F86" s="38" t="s">
        <v>15</v>
      </c>
      <c r="G86" s="95">
        <f>C84/1134</f>
        <v>293.20987654320987</v>
      </c>
      <c r="H86" s="95">
        <v>3</v>
      </c>
      <c r="I86" s="95">
        <f t="shared" si="45"/>
        <v>296.20987654320987</v>
      </c>
      <c r="J86" s="125">
        <v>1.6</v>
      </c>
      <c r="K86" s="38">
        <f>J86*I86</f>
        <v>473.93580246913581</v>
      </c>
      <c r="L86" s="16"/>
      <c r="M86" s="92">
        <v>6</v>
      </c>
      <c r="N86" s="92">
        <f t="shared" si="43"/>
        <v>330</v>
      </c>
      <c r="O86" s="100">
        <f t="shared" si="44"/>
        <v>112</v>
      </c>
      <c r="P86" s="100"/>
    </row>
    <row r="87" spans="1:16" ht="67.5" x14ac:dyDescent="0.15">
      <c r="A87" s="3">
        <v>18</v>
      </c>
      <c r="B87" s="93" t="s">
        <v>258</v>
      </c>
      <c r="C87" s="38">
        <f>332500*2</f>
        <v>665000</v>
      </c>
      <c r="D87" s="94" t="s">
        <v>78</v>
      </c>
      <c r="E87" s="94" t="s">
        <v>81</v>
      </c>
      <c r="F87" s="38" t="s">
        <v>18</v>
      </c>
      <c r="G87" s="95">
        <v>1</v>
      </c>
      <c r="H87" s="95"/>
      <c r="I87" s="95">
        <v>1</v>
      </c>
      <c r="J87" s="38">
        <v>4.76</v>
      </c>
      <c r="K87" s="38">
        <f t="shared" ref="K87:K90" si="46">J87*C87*I87/1000</f>
        <v>3165.4</v>
      </c>
      <c r="L87" s="16" t="s">
        <v>126</v>
      </c>
      <c r="M87" s="92">
        <v>6</v>
      </c>
      <c r="N87" s="92">
        <f t="shared" si="43"/>
        <v>330</v>
      </c>
      <c r="O87" s="100">
        <f t="shared" si="44"/>
        <v>112</v>
      </c>
      <c r="P87" s="100"/>
    </row>
    <row r="88" spans="1:16" ht="40.5" x14ac:dyDescent="0.15">
      <c r="A88" s="3">
        <v>19</v>
      </c>
      <c r="B88" s="93" t="s">
        <v>256</v>
      </c>
      <c r="C88" s="127">
        <v>90</v>
      </c>
      <c r="D88" s="94" t="s">
        <v>78</v>
      </c>
      <c r="E88" s="94" t="s">
        <v>24</v>
      </c>
      <c r="F88" s="38" t="s">
        <v>15</v>
      </c>
      <c r="G88" s="95">
        <v>206</v>
      </c>
      <c r="H88" s="95">
        <v>5</v>
      </c>
      <c r="I88" s="95">
        <f t="shared" si="45"/>
        <v>211</v>
      </c>
      <c r="J88" s="38">
        <v>17.8</v>
      </c>
      <c r="K88" s="38">
        <f>J88*I88*C88/1000</f>
        <v>338.02199999999999</v>
      </c>
      <c r="L88" s="16" t="s">
        <v>127</v>
      </c>
    </row>
    <row r="89" spans="1:16" ht="67.5" x14ac:dyDescent="0.15">
      <c r="A89" s="3">
        <v>20</v>
      </c>
      <c r="B89" s="93" t="s">
        <v>259</v>
      </c>
      <c r="C89" s="38">
        <v>400000</v>
      </c>
      <c r="D89" s="94" t="s">
        <v>78</v>
      </c>
      <c r="E89" s="94" t="s">
        <v>81</v>
      </c>
      <c r="F89" s="38" t="s">
        <v>18</v>
      </c>
      <c r="G89" s="95">
        <v>1</v>
      </c>
      <c r="H89" s="95"/>
      <c r="I89" s="95">
        <f t="shared" si="45"/>
        <v>1</v>
      </c>
      <c r="J89" s="38">
        <v>4.76</v>
      </c>
      <c r="K89" s="38">
        <f t="shared" si="46"/>
        <v>1904</v>
      </c>
      <c r="L89" s="16" t="s">
        <v>126</v>
      </c>
    </row>
    <row r="90" spans="1:16" ht="40.5" x14ac:dyDescent="0.15">
      <c r="A90" s="3">
        <v>21</v>
      </c>
      <c r="B90" s="93" t="s">
        <v>257</v>
      </c>
      <c r="C90" s="127">
        <v>90</v>
      </c>
      <c r="D90" s="94" t="s">
        <v>78</v>
      </c>
      <c r="E90" s="94" t="s">
        <v>24</v>
      </c>
      <c r="F90" s="38" t="s">
        <v>15</v>
      </c>
      <c r="G90" s="95">
        <v>76</v>
      </c>
      <c r="H90" s="95">
        <v>2</v>
      </c>
      <c r="I90" s="95">
        <f t="shared" si="45"/>
        <v>78</v>
      </c>
      <c r="J90" s="38">
        <v>17.8</v>
      </c>
      <c r="K90" s="122">
        <f t="shared" si="46"/>
        <v>124.956</v>
      </c>
      <c r="L90" s="16" t="s">
        <v>127</v>
      </c>
    </row>
    <row r="91" spans="1:16" ht="15" x14ac:dyDescent="0.15">
      <c r="A91" s="3">
        <v>22</v>
      </c>
      <c r="B91" s="93" t="s">
        <v>87</v>
      </c>
      <c r="C91" s="38"/>
      <c r="D91" s="94" t="s">
        <v>88</v>
      </c>
      <c r="E91" s="38" t="s">
        <v>89</v>
      </c>
      <c r="F91" s="38" t="s">
        <v>17</v>
      </c>
      <c r="G91" s="95">
        <f>(G88+G90)*4</f>
        <v>1128</v>
      </c>
      <c r="H91" s="95">
        <v>15</v>
      </c>
      <c r="I91" s="95">
        <f t="shared" si="45"/>
        <v>1143</v>
      </c>
      <c r="J91" s="38">
        <v>0.04</v>
      </c>
      <c r="K91" s="122">
        <f t="shared" ref="K91:K94" si="47">J91*I91</f>
        <v>45.72</v>
      </c>
      <c r="L91" s="16" t="s">
        <v>128</v>
      </c>
    </row>
    <row r="92" spans="1:16" ht="40.5" x14ac:dyDescent="0.15">
      <c r="A92" s="3">
        <v>23</v>
      </c>
      <c r="B92" s="93" t="s">
        <v>129</v>
      </c>
      <c r="C92" s="94" t="s">
        <v>108</v>
      </c>
      <c r="D92" s="94" t="s">
        <v>20</v>
      </c>
      <c r="E92" s="113"/>
      <c r="F92" s="38" t="s">
        <v>17</v>
      </c>
      <c r="G92" s="95">
        <f>G85</f>
        <v>352.73368606701939</v>
      </c>
      <c r="H92" s="95">
        <v>5</v>
      </c>
      <c r="I92" s="95">
        <f t="shared" si="45"/>
        <v>357.73368606701939</v>
      </c>
      <c r="J92" s="113">
        <v>0.04</v>
      </c>
      <c r="K92" s="122">
        <f t="shared" si="47"/>
        <v>14.309347442680776</v>
      </c>
      <c r="L92" s="16" t="s">
        <v>130</v>
      </c>
    </row>
    <row r="93" spans="1:16" ht="40.5" x14ac:dyDescent="0.15">
      <c r="A93" s="3">
        <v>24</v>
      </c>
      <c r="B93" s="93" t="s">
        <v>131</v>
      </c>
      <c r="C93" s="94" t="s">
        <v>108</v>
      </c>
      <c r="D93" s="94" t="s">
        <v>20</v>
      </c>
      <c r="E93" s="113"/>
      <c r="F93" s="38" t="s">
        <v>17</v>
      </c>
      <c r="G93" s="95">
        <f>G86*2</f>
        <v>586.41975308641975</v>
      </c>
      <c r="H93" s="95">
        <v>10</v>
      </c>
      <c r="I93" s="95">
        <f t="shared" si="45"/>
        <v>596.41975308641975</v>
      </c>
      <c r="J93" s="113">
        <v>0.04</v>
      </c>
      <c r="K93" s="122">
        <f t="shared" si="47"/>
        <v>23.85679012345679</v>
      </c>
      <c r="L93" s="16" t="s">
        <v>132</v>
      </c>
    </row>
    <row r="94" spans="1:16" ht="27" x14ac:dyDescent="0.15">
      <c r="A94" s="3">
        <v>25</v>
      </c>
      <c r="B94" s="93" t="s">
        <v>109</v>
      </c>
      <c r="C94" s="94" t="s">
        <v>110</v>
      </c>
      <c r="D94" s="94" t="s">
        <v>111</v>
      </c>
      <c r="E94" s="113"/>
      <c r="F94" s="109" t="s">
        <v>15</v>
      </c>
      <c r="G94" s="95">
        <f>332.5/0.5*2</f>
        <v>1330</v>
      </c>
      <c r="H94" s="95">
        <v>20</v>
      </c>
      <c r="I94" s="95">
        <f t="shared" si="45"/>
        <v>1350</v>
      </c>
      <c r="J94" s="113">
        <v>5.0000000000000001E-3</v>
      </c>
      <c r="K94" s="122">
        <f t="shared" si="47"/>
        <v>6.75</v>
      </c>
      <c r="L94" s="16" t="s">
        <v>133</v>
      </c>
    </row>
    <row r="95" spans="1:16" ht="14.25" x14ac:dyDescent="0.15">
      <c r="A95" s="3">
        <v>26</v>
      </c>
      <c r="B95" s="93" t="s">
        <v>134</v>
      </c>
      <c r="C95" s="245" t="s">
        <v>135</v>
      </c>
      <c r="D95" s="245"/>
      <c r="E95" s="245"/>
      <c r="F95" s="245"/>
      <c r="G95" s="245"/>
      <c r="H95" s="245"/>
      <c r="I95" s="245"/>
      <c r="J95" s="245"/>
      <c r="K95" s="245"/>
      <c r="L95" s="245"/>
    </row>
    <row r="96" spans="1:16" x14ac:dyDescent="0.15">
      <c r="A96" s="8"/>
      <c r="B96" s="128"/>
      <c r="C96" s="129"/>
      <c r="D96" s="129"/>
      <c r="E96" s="129"/>
      <c r="F96" s="129"/>
      <c r="G96" s="129"/>
      <c r="H96" s="129"/>
      <c r="I96" s="129"/>
      <c r="J96" s="129" t="s">
        <v>23</v>
      </c>
      <c r="K96" s="129">
        <f>SUM(K71:K94)</f>
        <v>32609.392583883604</v>
      </c>
      <c r="L96" s="130" t="s">
        <v>96</v>
      </c>
    </row>
    <row r="97" spans="1:12" x14ac:dyDescent="0.15">
      <c r="A97" s="8" t="s">
        <v>27</v>
      </c>
      <c r="B97" s="236" t="s">
        <v>155</v>
      </c>
      <c r="C97" s="237"/>
      <c r="D97" s="237"/>
      <c r="E97" s="237"/>
      <c r="F97" s="237"/>
      <c r="G97" s="237"/>
      <c r="H97" s="237"/>
      <c r="I97" s="237"/>
      <c r="J97" s="237"/>
      <c r="K97" s="237"/>
      <c r="L97" s="238"/>
    </row>
    <row r="98" spans="1:12" x14ac:dyDescent="0.15">
      <c r="A98" s="8"/>
      <c r="B98" s="239"/>
      <c r="C98" s="240"/>
      <c r="D98" s="240"/>
      <c r="E98" s="240"/>
      <c r="F98" s="240"/>
      <c r="G98" s="240"/>
      <c r="H98" s="240"/>
      <c r="I98" s="240"/>
      <c r="J98" s="240"/>
      <c r="K98" s="240"/>
      <c r="L98" s="241"/>
    </row>
    <row r="99" spans="1:12" x14ac:dyDescent="0.15">
      <c r="A99" s="53"/>
      <c r="B99" s="239"/>
      <c r="C99" s="240"/>
      <c r="D99" s="240"/>
      <c r="E99" s="240"/>
      <c r="F99" s="240"/>
      <c r="G99" s="240"/>
      <c r="H99" s="240"/>
      <c r="I99" s="240"/>
      <c r="J99" s="240"/>
      <c r="K99" s="240"/>
      <c r="L99" s="241"/>
    </row>
    <row r="100" spans="1:12" x14ac:dyDescent="0.15">
      <c r="A100" s="9"/>
      <c r="B100" s="239"/>
      <c r="C100" s="240"/>
      <c r="D100" s="240"/>
      <c r="E100" s="240"/>
      <c r="F100" s="240"/>
      <c r="G100" s="240"/>
      <c r="H100" s="240"/>
      <c r="I100" s="240"/>
      <c r="J100" s="240"/>
      <c r="K100" s="240"/>
      <c r="L100" s="241"/>
    </row>
    <row r="101" spans="1:12" x14ac:dyDescent="0.15">
      <c r="A101" s="9"/>
      <c r="B101" s="239"/>
      <c r="C101" s="240"/>
      <c r="D101" s="240"/>
      <c r="E101" s="240"/>
      <c r="F101" s="240"/>
      <c r="G101" s="240"/>
      <c r="H101" s="240"/>
      <c r="I101" s="240"/>
      <c r="J101" s="240"/>
      <c r="K101" s="240"/>
      <c r="L101" s="241"/>
    </row>
    <row r="102" spans="1:12" ht="27" customHeight="1" x14ac:dyDescent="0.15">
      <c r="A102" s="9"/>
      <c r="B102" s="242"/>
      <c r="C102" s="243"/>
      <c r="D102" s="243"/>
      <c r="E102" s="243"/>
      <c r="F102" s="243"/>
      <c r="G102" s="243"/>
      <c r="H102" s="243"/>
      <c r="I102" s="243"/>
      <c r="J102" s="243"/>
      <c r="K102" s="243"/>
      <c r="L102" s="244"/>
    </row>
    <row r="103" spans="1:12" ht="35.25" customHeight="1" x14ac:dyDescent="0.15">
      <c r="A103" s="206" t="s">
        <v>30</v>
      </c>
      <c r="B103" s="201"/>
      <c r="C103" s="85"/>
      <c r="D103" s="86" t="s">
        <v>31</v>
      </c>
      <c r="E103" s="208"/>
      <c r="F103" s="208"/>
      <c r="G103" s="208"/>
      <c r="H103" s="201"/>
      <c r="I103" s="206" t="s">
        <v>32</v>
      </c>
      <c r="J103" s="201"/>
      <c r="K103" s="195"/>
      <c r="L103" s="195"/>
    </row>
    <row r="104" spans="1:12" ht="42" customHeight="1" x14ac:dyDescent="0.15">
      <c r="A104" s="189" t="s">
        <v>33</v>
      </c>
      <c r="B104" s="188"/>
      <c r="C104" s="54"/>
      <c r="D104" s="10" t="s">
        <v>136</v>
      </c>
      <c r="E104" s="187"/>
      <c r="F104" s="187"/>
      <c r="G104" s="187"/>
      <c r="H104" s="188"/>
      <c r="I104" s="189"/>
      <c r="J104" s="188"/>
      <c r="K104" s="173"/>
      <c r="L104" s="174"/>
    </row>
  </sheetData>
  <mergeCells count="14">
    <mergeCell ref="B97:L102"/>
    <mergeCell ref="A103:B103"/>
    <mergeCell ref="E103:H103"/>
    <mergeCell ref="I103:J103"/>
    <mergeCell ref="A104:B104"/>
    <mergeCell ref="E104:H104"/>
    <mergeCell ref="I104:J104"/>
    <mergeCell ref="K103:L103"/>
    <mergeCell ref="C95:L95"/>
    <mergeCell ref="A1:L1"/>
    <mergeCell ref="A2:L2"/>
    <mergeCell ref="A3:L3"/>
    <mergeCell ref="L6:L64"/>
    <mergeCell ref="B69:J69"/>
  </mergeCells>
  <phoneticPr fontId="22" type="noConversion"/>
  <pageMargins left="0.7" right="0.7" top="0.75" bottom="0.75" header="0.3" footer="0.3"/>
  <pageSetup paperSize="9" scale="32" orientation="portrait" horizontalDpi="1200" verticalDpi="1200" r:id="rId1"/>
  <rowBreaks count="1" manualBreakCount="1">
    <brk id="8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7"/>
  <sheetViews>
    <sheetView view="pageBreakPreview" topLeftCell="A43" zoomScaleNormal="100" zoomScaleSheetLayoutView="100" workbookViewId="0">
      <pane xSplit="2" topLeftCell="C1" activePane="topRight" state="frozen"/>
      <selection activeCell="A4" sqref="A4"/>
      <selection pane="topRight" activeCell="Q23" sqref="Q23"/>
    </sheetView>
  </sheetViews>
  <sheetFormatPr defaultColWidth="9" defaultRowHeight="13.5" x14ac:dyDescent="0.15"/>
  <cols>
    <col min="2" max="2" width="29" customWidth="1"/>
    <col min="3" max="3" width="12.5" customWidth="1"/>
    <col min="4" max="4" width="13" customWidth="1"/>
    <col min="5" max="5" width="18.75" customWidth="1"/>
    <col min="10" max="10" width="13.125" customWidth="1"/>
    <col min="11" max="11" width="11.5" customWidth="1"/>
    <col min="12" max="12" width="12.875" customWidth="1"/>
    <col min="18" max="19" width="12.25" customWidth="1"/>
    <col min="20" max="21" width="11.125" customWidth="1"/>
    <col min="23" max="25" width="10.625" customWidth="1"/>
    <col min="26" max="26" width="10.375" customWidth="1"/>
    <col min="27" max="29" width="11.375" customWidth="1"/>
    <col min="30" max="30" width="12.125" customWidth="1"/>
    <col min="31" max="31" width="11.75" customWidth="1"/>
  </cols>
  <sheetData>
    <row r="1" spans="1:32" ht="45" customHeight="1" x14ac:dyDescent="0.15">
      <c r="A1" s="192" t="s">
        <v>69</v>
      </c>
      <c r="B1" s="192"/>
      <c r="C1" s="192"/>
      <c r="D1" s="192"/>
      <c r="E1" s="192"/>
      <c r="F1" s="192"/>
      <c r="G1" s="193"/>
      <c r="H1" s="193"/>
      <c r="I1" s="193"/>
      <c r="J1" s="192"/>
      <c r="K1" s="194"/>
      <c r="L1" s="192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2" ht="21" customHeight="1" x14ac:dyDescent="0.15">
      <c r="A2" s="195" t="s">
        <v>216</v>
      </c>
      <c r="B2" s="195"/>
      <c r="C2" s="195"/>
      <c r="D2" s="195"/>
      <c r="E2" s="195"/>
      <c r="F2" s="195"/>
      <c r="G2" s="196"/>
      <c r="H2" s="196"/>
      <c r="I2" s="196"/>
      <c r="J2" s="195"/>
      <c r="K2" s="197"/>
      <c r="L2" s="195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 t="s">
        <v>180</v>
      </c>
      <c r="AB2" s="31" t="s">
        <v>180</v>
      </c>
      <c r="AC2" s="31" t="s">
        <v>180</v>
      </c>
      <c r="AD2" s="31"/>
      <c r="AE2" s="31"/>
    </row>
    <row r="3" spans="1:32" ht="30" customHeight="1" x14ac:dyDescent="0.15">
      <c r="A3" s="198" t="s">
        <v>213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200"/>
      <c r="M3" s="31"/>
      <c r="N3" s="31" t="s">
        <v>181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2" ht="47.1" customHeight="1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I4" s="2" t="s">
        <v>9</v>
      </c>
      <c r="J4" s="13" t="s">
        <v>10</v>
      </c>
      <c r="K4" s="14" t="s">
        <v>11</v>
      </c>
      <c r="L4" s="1" t="s">
        <v>12</v>
      </c>
      <c r="M4" s="31"/>
      <c r="N4" s="30" t="s">
        <v>182</v>
      </c>
      <c r="O4" s="30" t="s">
        <v>183</v>
      </c>
      <c r="P4" s="30" t="s">
        <v>184</v>
      </c>
      <c r="Q4" s="30" t="s">
        <v>185</v>
      </c>
      <c r="R4" s="30" t="s">
        <v>221</v>
      </c>
      <c r="S4" s="30" t="s">
        <v>222</v>
      </c>
      <c r="T4" s="30" t="s">
        <v>223</v>
      </c>
      <c r="U4" s="33" t="s">
        <v>224</v>
      </c>
      <c r="V4" s="33" t="s">
        <v>225</v>
      </c>
      <c r="W4" s="33" t="s">
        <v>226</v>
      </c>
      <c r="X4" s="33" t="s">
        <v>227</v>
      </c>
      <c r="Y4" s="30" t="s">
        <v>228</v>
      </c>
      <c r="Z4" s="139" t="s">
        <v>229</v>
      </c>
      <c r="AA4" s="30" t="s">
        <v>230</v>
      </c>
      <c r="AB4" s="30" t="s">
        <v>231</v>
      </c>
      <c r="AC4" s="30" t="s">
        <v>232</v>
      </c>
      <c r="AD4" s="31" t="s">
        <v>186</v>
      </c>
      <c r="AE4" s="31" t="s">
        <v>233</v>
      </c>
      <c r="AF4" s="31" t="s">
        <v>187</v>
      </c>
    </row>
    <row r="5" spans="1:32" ht="21" customHeight="1" x14ac:dyDescent="0.15">
      <c r="A5" s="3" t="s">
        <v>76</v>
      </c>
      <c r="B5" s="140" t="s">
        <v>214</v>
      </c>
      <c r="C5" s="141"/>
      <c r="D5" s="141"/>
      <c r="E5" s="3"/>
      <c r="F5" s="4"/>
      <c r="G5" s="5"/>
      <c r="H5" s="5"/>
      <c r="I5" s="5"/>
      <c r="J5" s="47"/>
      <c r="K5" s="15"/>
      <c r="L5" s="16"/>
      <c r="M5" s="28"/>
      <c r="N5" s="142" t="s">
        <v>217</v>
      </c>
      <c r="O5" s="142">
        <v>1</v>
      </c>
      <c r="P5" s="142">
        <f>2*(3-1)*O5</f>
        <v>4</v>
      </c>
      <c r="Q5" s="142">
        <f>4*O5</f>
        <v>4</v>
      </c>
      <c r="R5" s="92">
        <f>2*O5</f>
        <v>2</v>
      </c>
      <c r="S5" s="92">
        <f>R5</f>
        <v>2</v>
      </c>
      <c r="T5" s="142">
        <v>0</v>
      </c>
      <c r="U5" s="142">
        <f>R5</f>
        <v>2</v>
      </c>
      <c r="V5" s="142">
        <f>R5</f>
        <v>2</v>
      </c>
      <c r="W5" s="92">
        <v>0</v>
      </c>
      <c r="X5" s="92">
        <v>0</v>
      </c>
      <c r="Y5" s="92">
        <f>2*O5</f>
        <v>2</v>
      </c>
      <c r="Z5" s="143">
        <v>0</v>
      </c>
      <c r="AA5" s="143">
        <v>0</v>
      </c>
      <c r="AB5" s="143">
        <v>0</v>
      </c>
      <c r="AC5" s="143">
        <v>0</v>
      </c>
      <c r="AD5" s="92">
        <v>0</v>
      </c>
      <c r="AE5" s="92">
        <v>1</v>
      </c>
    </row>
    <row r="6" spans="1:32" ht="21" customHeight="1" x14ac:dyDescent="0.15">
      <c r="A6" s="3">
        <v>1</v>
      </c>
      <c r="B6" s="144" t="s">
        <v>21</v>
      </c>
      <c r="C6" s="145">
        <v>60</v>
      </c>
      <c r="D6" s="3" t="s">
        <v>13</v>
      </c>
      <c r="E6" s="146" t="s">
        <v>188</v>
      </c>
      <c r="F6" s="37" t="s">
        <v>15</v>
      </c>
      <c r="G6" s="147">
        <f>Q5+Q6+Q7</f>
        <v>24</v>
      </c>
      <c r="H6" s="147">
        <f>G6*0.003</f>
        <v>7.2000000000000008E-2</v>
      </c>
      <c r="I6" s="148">
        <f t="shared" ref="I6:I29" si="0">G6+H6</f>
        <v>24.071999999999999</v>
      </c>
      <c r="J6" s="149">
        <f>0.847*0.06</f>
        <v>5.0819999999999997E-2</v>
      </c>
      <c r="K6" s="150">
        <f>G6*J6</f>
        <v>1.2196799999999999</v>
      </c>
      <c r="L6" s="16"/>
      <c r="M6" s="28"/>
      <c r="N6" s="142" t="s">
        <v>218</v>
      </c>
      <c r="O6" s="142">
        <v>1</v>
      </c>
      <c r="P6" s="142">
        <f>4*(10-1)*O6</f>
        <v>36</v>
      </c>
      <c r="Q6" s="142">
        <f>8*O6</f>
        <v>8</v>
      </c>
      <c r="R6" s="92">
        <f>6*O6</f>
        <v>6</v>
      </c>
      <c r="S6" s="92">
        <f>R6</f>
        <v>6</v>
      </c>
      <c r="T6" s="92">
        <f>S6</f>
        <v>6</v>
      </c>
      <c r="U6" s="142">
        <f>R6</f>
        <v>6</v>
      </c>
      <c r="V6" s="142">
        <f>R6</f>
        <v>6</v>
      </c>
      <c r="W6" s="142">
        <f>S6</f>
        <v>6</v>
      </c>
      <c r="X6" s="143">
        <v>0</v>
      </c>
      <c r="Y6" s="143">
        <v>0</v>
      </c>
      <c r="Z6" s="92">
        <f>4*O6</f>
        <v>4</v>
      </c>
      <c r="AA6" s="143">
        <f>Z6</f>
        <v>4</v>
      </c>
      <c r="AB6" s="143">
        <v>0</v>
      </c>
      <c r="AC6" s="143">
        <v>0</v>
      </c>
      <c r="AD6" s="92">
        <f>(2-1)*Z6</f>
        <v>4</v>
      </c>
      <c r="AE6" s="92">
        <v>2</v>
      </c>
    </row>
    <row r="7" spans="1:32" ht="21" customHeight="1" x14ac:dyDescent="0.15">
      <c r="A7" s="3">
        <v>2</v>
      </c>
      <c r="B7" s="6" t="s">
        <v>16</v>
      </c>
      <c r="C7" s="151">
        <v>60</v>
      </c>
      <c r="D7" s="3" t="s">
        <v>13</v>
      </c>
      <c r="E7" s="146" t="s">
        <v>188</v>
      </c>
      <c r="F7" s="3" t="s">
        <v>15</v>
      </c>
      <c r="G7" s="147">
        <f>P5+P6+P7</f>
        <v>88</v>
      </c>
      <c r="H7" s="147">
        <f>G7*0.003</f>
        <v>0.26400000000000001</v>
      </c>
      <c r="I7" s="148">
        <f t="shared" si="0"/>
        <v>88.263999999999996</v>
      </c>
      <c r="J7" s="149">
        <f>0.847*0.06</f>
        <v>5.0819999999999997E-2</v>
      </c>
      <c r="K7" s="150">
        <f>G7*J7</f>
        <v>4.4721599999999997</v>
      </c>
      <c r="L7" s="16"/>
      <c r="M7" s="28"/>
      <c r="N7" s="152" t="s">
        <v>219</v>
      </c>
      <c r="O7" s="152">
        <v>1</v>
      </c>
      <c r="P7" s="152">
        <f>6*(9-1)*O7</f>
        <v>48</v>
      </c>
      <c r="Q7" s="152">
        <f>12*O7</f>
        <v>12</v>
      </c>
      <c r="R7" s="153">
        <f>5*O7</f>
        <v>5</v>
      </c>
      <c r="S7" s="152">
        <f>R7</f>
        <v>5</v>
      </c>
      <c r="T7" s="152">
        <f>R7</f>
        <v>5</v>
      </c>
      <c r="U7" s="152">
        <f>T7</f>
        <v>5</v>
      </c>
      <c r="V7" s="152">
        <v>0</v>
      </c>
      <c r="W7" s="154">
        <v>0</v>
      </c>
      <c r="X7" s="154">
        <f>R7</f>
        <v>5</v>
      </c>
      <c r="Y7" s="154">
        <v>0</v>
      </c>
      <c r="Z7" s="92">
        <f>6*O7</f>
        <v>6</v>
      </c>
      <c r="AA7" s="154">
        <v>0</v>
      </c>
      <c r="AB7" s="154">
        <f>Z7</f>
        <v>6</v>
      </c>
      <c r="AC7" s="154">
        <v>0</v>
      </c>
      <c r="AD7" s="92">
        <f>(2-1)*Z7</f>
        <v>6</v>
      </c>
      <c r="AE7" s="153">
        <v>2</v>
      </c>
    </row>
    <row r="8" spans="1:32" ht="21" customHeight="1" x14ac:dyDescent="0.15">
      <c r="A8" s="3">
        <v>3</v>
      </c>
      <c r="B8" s="170" t="s">
        <v>234</v>
      </c>
      <c r="C8" s="151">
        <v>355</v>
      </c>
      <c r="D8" s="37" t="s">
        <v>235</v>
      </c>
      <c r="E8" s="146" t="s">
        <v>24</v>
      </c>
      <c r="F8" s="3" t="s">
        <v>18</v>
      </c>
      <c r="G8" s="147">
        <f>R5+R6+R7</f>
        <v>13</v>
      </c>
      <c r="H8" s="147">
        <v>0</v>
      </c>
      <c r="I8" s="148">
        <f t="shared" si="0"/>
        <v>13</v>
      </c>
      <c r="J8" s="155">
        <v>2.1</v>
      </c>
      <c r="K8" s="150">
        <f t="shared" ref="K8:K20" si="1">I8*J8*C8/1000</f>
        <v>9.6914999999999996</v>
      </c>
      <c r="L8" s="16"/>
      <c r="M8" s="28"/>
      <c r="N8" s="142" t="s">
        <v>220</v>
      </c>
      <c r="O8" s="142">
        <v>3</v>
      </c>
      <c r="P8" s="142">
        <f>6*(7-1)*O8</f>
        <v>108</v>
      </c>
      <c r="Q8" s="142">
        <f>12*O8</f>
        <v>36</v>
      </c>
      <c r="R8" s="92">
        <f>4*O8</f>
        <v>12</v>
      </c>
      <c r="S8" s="24">
        <f>R8</f>
        <v>12</v>
      </c>
      <c r="T8" s="142">
        <f>R8</f>
        <v>12</v>
      </c>
      <c r="U8" s="142">
        <f>T8</f>
        <v>12</v>
      </c>
      <c r="V8" s="142">
        <v>0</v>
      </c>
      <c r="W8" s="143">
        <v>0</v>
      </c>
      <c r="X8" s="143">
        <f>R8</f>
        <v>12</v>
      </c>
      <c r="Y8" s="143">
        <v>0</v>
      </c>
      <c r="Z8" s="92">
        <f>6*O8</f>
        <v>18</v>
      </c>
      <c r="AA8" s="143">
        <v>0</v>
      </c>
      <c r="AB8" s="143">
        <v>0</v>
      </c>
      <c r="AC8" s="92">
        <f>Z8</f>
        <v>18</v>
      </c>
      <c r="AD8" s="92">
        <f>(2-1)*Z8</f>
        <v>18</v>
      </c>
      <c r="AE8" s="92">
        <f>2*O8</f>
        <v>6</v>
      </c>
      <c r="AF8" s="156"/>
    </row>
    <row r="9" spans="1:32" ht="21" customHeight="1" x14ac:dyDescent="0.15">
      <c r="A9" s="3">
        <v>4</v>
      </c>
      <c r="B9" s="170" t="s">
        <v>242</v>
      </c>
      <c r="C9" s="157">
        <v>670</v>
      </c>
      <c r="D9" s="37" t="s">
        <v>235</v>
      </c>
      <c r="E9" s="146" t="s">
        <v>24</v>
      </c>
      <c r="F9" s="3" t="s">
        <v>18</v>
      </c>
      <c r="G9" s="147">
        <f>S5+S6+S7</f>
        <v>13</v>
      </c>
      <c r="H9" s="147">
        <v>0</v>
      </c>
      <c r="I9" s="148">
        <f t="shared" si="0"/>
        <v>13</v>
      </c>
      <c r="J9" s="155">
        <v>2.1</v>
      </c>
      <c r="K9" s="150">
        <f t="shared" si="1"/>
        <v>18.291</v>
      </c>
      <c r="L9" s="16"/>
      <c r="M9" s="2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21" customHeight="1" x14ac:dyDescent="0.15">
      <c r="A10" s="3">
        <v>5</v>
      </c>
      <c r="B10" s="170" t="s">
        <v>243</v>
      </c>
      <c r="C10" s="157">
        <v>1005</v>
      </c>
      <c r="D10" s="37" t="s">
        <v>235</v>
      </c>
      <c r="E10" s="146" t="s">
        <v>24</v>
      </c>
      <c r="F10" s="3" t="s">
        <v>18</v>
      </c>
      <c r="G10" s="147">
        <f>T6+T7</f>
        <v>11</v>
      </c>
      <c r="H10" s="147">
        <v>0</v>
      </c>
      <c r="I10" s="148">
        <f t="shared" si="0"/>
        <v>11</v>
      </c>
      <c r="J10" s="155">
        <v>2.1</v>
      </c>
      <c r="K10" s="150">
        <f t="shared" si="1"/>
        <v>23.215499999999999</v>
      </c>
      <c r="L10" s="16"/>
      <c r="M10" s="28"/>
      <c r="N10" s="18"/>
      <c r="O10" s="18"/>
      <c r="P10" s="18"/>
      <c r="Q10" s="18"/>
      <c r="R10" s="24"/>
      <c r="S10" s="24"/>
      <c r="T10" s="18"/>
      <c r="U10" s="18"/>
      <c r="V10" s="18"/>
      <c r="W10" s="23"/>
      <c r="X10" s="23"/>
      <c r="Y10" s="23"/>
      <c r="Z10" s="24"/>
      <c r="AA10" s="23"/>
      <c r="AB10" s="23"/>
      <c r="AC10" s="23"/>
      <c r="AD10" s="91"/>
      <c r="AE10" s="91"/>
    </row>
    <row r="11" spans="1:32" ht="21" customHeight="1" x14ac:dyDescent="0.15">
      <c r="A11" s="3">
        <v>6</v>
      </c>
      <c r="B11" s="170" t="s">
        <v>244</v>
      </c>
      <c r="C11" s="157">
        <v>1335</v>
      </c>
      <c r="D11" s="37" t="s">
        <v>235</v>
      </c>
      <c r="E11" s="146" t="s">
        <v>24</v>
      </c>
      <c r="F11" s="3" t="s">
        <v>18</v>
      </c>
      <c r="G11" s="147">
        <f>U6+U7</f>
        <v>11</v>
      </c>
      <c r="H11" s="147">
        <v>0</v>
      </c>
      <c r="I11" s="148">
        <f t="shared" si="0"/>
        <v>11</v>
      </c>
      <c r="J11" s="155">
        <v>2.1</v>
      </c>
      <c r="K11" s="150">
        <f t="shared" si="1"/>
        <v>30.838500000000003</v>
      </c>
      <c r="L11" s="16"/>
      <c r="M11" s="28"/>
      <c r="N11" s="18"/>
      <c r="O11" s="24"/>
      <c r="P11" s="18"/>
      <c r="Q11" s="18"/>
      <c r="R11" s="24"/>
      <c r="S11" s="24"/>
      <c r="T11" s="18"/>
      <c r="U11" s="18"/>
      <c r="V11" s="18"/>
      <c r="W11" s="23"/>
      <c r="X11" s="23"/>
      <c r="Y11" s="23"/>
      <c r="Z11" s="24"/>
      <c r="AA11" s="23"/>
      <c r="AB11" s="23"/>
      <c r="AC11" s="23"/>
      <c r="AD11" s="91"/>
      <c r="AE11" s="91"/>
    </row>
    <row r="12" spans="1:32" ht="21" customHeight="1" x14ac:dyDescent="0.15">
      <c r="A12" s="3">
        <v>7</v>
      </c>
      <c r="B12" s="170" t="s">
        <v>236</v>
      </c>
      <c r="C12" s="157">
        <v>2200</v>
      </c>
      <c r="D12" s="37" t="s">
        <v>235</v>
      </c>
      <c r="E12" s="146" t="s">
        <v>24</v>
      </c>
      <c r="F12" s="3" t="s">
        <v>18</v>
      </c>
      <c r="G12" s="147">
        <f>V5</f>
        <v>2</v>
      </c>
      <c r="H12" s="147">
        <v>0</v>
      </c>
      <c r="I12" s="148">
        <f t="shared" si="0"/>
        <v>2</v>
      </c>
      <c r="J12" s="155">
        <v>2.56</v>
      </c>
      <c r="K12" s="150">
        <f t="shared" si="1"/>
        <v>11.263999999999999</v>
      </c>
      <c r="L12" s="16"/>
      <c r="M12" s="28"/>
      <c r="N12" s="18"/>
      <c r="O12" s="24"/>
      <c r="P12" s="18"/>
      <c r="Q12" s="18"/>
      <c r="R12" s="24"/>
      <c r="S12" s="24"/>
      <c r="T12" s="18"/>
      <c r="U12" s="18"/>
      <c r="V12" s="18"/>
      <c r="W12" s="23"/>
      <c r="X12" s="23"/>
      <c r="Y12" s="23"/>
      <c r="Z12" s="24"/>
      <c r="AA12" s="23"/>
      <c r="AB12" s="23"/>
      <c r="AC12" s="23"/>
      <c r="AD12" s="91"/>
      <c r="AE12" s="91"/>
    </row>
    <row r="13" spans="1:32" ht="21" customHeight="1" x14ac:dyDescent="0.15">
      <c r="A13" s="3">
        <v>8</v>
      </c>
      <c r="B13" s="170" t="s">
        <v>237</v>
      </c>
      <c r="C13" s="157">
        <v>4200</v>
      </c>
      <c r="D13" s="37" t="s">
        <v>235</v>
      </c>
      <c r="E13" s="146" t="s">
        <v>24</v>
      </c>
      <c r="F13" s="3" t="s">
        <v>18</v>
      </c>
      <c r="G13" s="147">
        <f>W6</f>
        <v>6</v>
      </c>
      <c r="H13" s="147">
        <v>0</v>
      </c>
      <c r="I13" s="148">
        <f t="shared" si="0"/>
        <v>6</v>
      </c>
      <c r="J13" s="155">
        <v>2.56</v>
      </c>
      <c r="K13" s="150">
        <f t="shared" si="1"/>
        <v>64.512</v>
      </c>
      <c r="L13" s="16"/>
      <c r="M13" s="28"/>
      <c r="N13" s="18"/>
      <c r="O13" s="24"/>
      <c r="P13" s="18">
        <f>3.2/2.5*2</f>
        <v>2.56</v>
      </c>
      <c r="Q13" s="18"/>
      <c r="R13" s="24"/>
      <c r="S13" s="24"/>
      <c r="T13" s="18"/>
      <c r="U13" s="18"/>
      <c r="V13" s="18"/>
      <c r="W13" s="23"/>
      <c r="X13" s="23"/>
      <c r="Y13" s="23"/>
      <c r="Z13" s="24"/>
      <c r="AA13" s="23"/>
      <c r="AB13" s="23"/>
      <c r="AC13" s="23"/>
      <c r="AD13" s="91"/>
      <c r="AE13" s="91"/>
    </row>
    <row r="14" spans="1:32" ht="21" customHeight="1" x14ac:dyDescent="0.15">
      <c r="A14" s="3">
        <v>8</v>
      </c>
      <c r="B14" s="170" t="s">
        <v>238</v>
      </c>
      <c r="C14" s="157">
        <v>6300</v>
      </c>
      <c r="D14" s="37" t="s">
        <v>235</v>
      </c>
      <c r="E14" s="146" t="s">
        <v>24</v>
      </c>
      <c r="F14" s="3" t="s">
        <v>18</v>
      </c>
      <c r="G14" s="147">
        <f>X7</f>
        <v>5</v>
      </c>
      <c r="H14" s="147">
        <v>0</v>
      </c>
      <c r="I14" s="148">
        <f t="shared" ref="I14" si="2">G14+H14</f>
        <v>5</v>
      </c>
      <c r="J14" s="155">
        <v>2.56</v>
      </c>
      <c r="K14" s="150">
        <f t="shared" ref="K14" si="3">I14*J14*C14/1000</f>
        <v>80.64</v>
      </c>
      <c r="L14" s="16"/>
      <c r="M14" s="28"/>
      <c r="N14" s="18"/>
      <c r="O14" s="24"/>
      <c r="P14" s="18">
        <f>2.9/2.5*2</f>
        <v>2.3199999999999998</v>
      </c>
      <c r="Q14" s="18"/>
      <c r="R14" s="24"/>
      <c r="S14" s="24"/>
      <c r="T14" s="18"/>
      <c r="U14" s="18"/>
      <c r="V14" s="18"/>
      <c r="W14" s="23"/>
      <c r="X14" s="23"/>
      <c r="Y14" s="23"/>
      <c r="Z14" s="24"/>
      <c r="AA14" s="23"/>
      <c r="AB14" s="23"/>
      <c r="AC14" s="23"/>
      <c r="AD14" s="91"/>
      <c r="AE14" s="91"/>
    </row>
    <row r="15" spans="1:32" ht="21" customHeight="1" x14ac:dyDescent="0.15">
      <c r="A15" s="3">
        <v>9</v>
      </c>
      <c r="B15" s="171" t="s">
        <v>239</v>
      </c>
      <c r="C15" s="157">
        <v>3550</v>
      </c>
      <c r="D15" s="37" t="s">
        <v>235</v>
      </c>
      <c r="E15" s="146" t="s">
        <v>24</v>
      </c>
      <c r="F15" s="3" t="s">
        <v>18</v>
      </c>
      <c r="G15" s="147">
        <f>Y5</f>
        <v>2</v>
      </c>
      <c r="H15" s="147">
        <v>0</v>
      </c>
      <c r="I15" s="148">
        <f t="shared" si="0"/>
        <v>2</v>
      </c>
      <c r="J15" s="155">
        <v>2.3199999999999998</v>
      </c>
      <c r="K15" s="150">
        <f t="shared" si="1"/>
        <v>16.472000000000001</v>
      </c>
      <c r="L15" s="16"/>
      <c r="M15" s="28"/>
      <c r="N15" s="18"/>
      <c r="O15" s="24"/>
      <c r="P15" s="18"/>
      <c r="Q15" s="18"/>
      <c r="R15" s="24"/>
      <c r="S15" s="24"/>
      <c r="T15" s="18"/>
      <c r="U15" s="18"/>
      <c r="V15" s="18"/>
      <c r="W15" s="23"/>
      <c r="X15" s="23"/>
      <c r="Y15" s="23"/>
      <c r="Z15" s="24"/>
      <c r="AA15" s="23"/>
      <c r="AB15" s="23"/>
      <c r="AC15" s="23"/>
      <c r="AD15" s="91"/>
      <c r="AE15" s="91"/>
    </row>
    <row r="16" spans="1:32" ht="21" customHeight="1" x14ac:dyDescent="0.15">
      <c r="A16" s="3">
        <v>9</v>
      </c>
      <c r="B16" s="171" t="s">
        <v>240</v>
      </c>
      <c r="C16" s="157">
        <v>6000</v>
      </c>
      <c r="D16" s="37" t="s">
        <v>235</v>
      </c>
      <c r="E16" s="146" t="s">
        <v>24</v>
      </c>
      <c r="F16" s="3" t="s">
        <v>18</v>
      </c>
      <c r="G16" s="147">
        <f>Z6+Z7</f>
        <v>10</v>
      </c>
      <c r="H16" s="147">
        <v>0</v>
      </c>
      <c r="I16" s="148">
        <f t="shared" ref="I16" si="4">G16+H16</f>
        <v>10</v>
      </c>
      <c r="J16" s="155">
        <v>2.3199999999999998</v>
      </c>
      <c r="K16" s="150">
        <f t="shared" ref="K16" si="5">I16*J16*C16/1000</f>
        <v>139.19999999999999</v>
      </c>
      <c r="L16" s="16"/>
      <c r="M16" s="28"/>
      <c r="N16" s="18"/>
      <c r="O16" s="24"/>
      <c r="P16" s="18"/>
      <c r="Q16" s="18"/>
      <c r="R16" s="24"/>
      <c r="S16" s="24"/>
      <c r="T16" s="18"/>
      <c r="U16" s="18"/>
      <c r="V16" s="18"/>
      <c r="W16" s="23"/>
      <c r="X16" s="23"/>
      <c r="Y16" s="23"/>
      <c r="Z16" s="24"/>
      <c r="AA16" s="23"/>
      <c r="AB16" s="23"/>
      <c r="AC16" s="23"/>
      <c r="AD16" s="91"/>
      <c r="AE16" s="91"/>
    </row>
    <row r="17" spans="1:31" ht="21" customHeight="1" x14ac:dyDescent="0.15">
      <c r="A17" s="3">
        <v>9</v>
      </c>
      <c r="B17" s="171" t="s">
        <v>245</v>
      </c>
      <c r="C17" s="157">
        <v>5730</v>
      </c>
      <c r="D17" s="37" t="s">
        <v>235</v>
      </c>
      <c r="E17" s="146" t="s">
        <v>24</v>
      </c>
      <c r="F17" s="3" t="s">
        <v>18</v>
      </c>
      <c r="G17" s="147">
        <f>AA6</f>
        <v>4</v>
      </c>
      <c r="H17" s="147">
        <v>0</v>
      </c>
      <c r="I17" s="148">
        <f t="shared" ref="I17" si="6">G17+H17</f>
        <v>4</v>
      </c>
      <c r="J17" s="155">
        <v>2.3199999999999998</v>
      </c>
      <c r="K17" s="150">
        <f t="shared" ref="K17" si="7">I17*J17*C17/1000</f>
        <v>53.174399999999991</v>
      </c>
      <c r="L17" s="16"/>
      <c r="M17" s="28"/>
      <c r="N17" s="18"/>
      <c r="O17" s="24"/>
      <c r="P17" s="18"/>
      <c r="Q17" s="18"/>
      <c r="R17" s="24"/>
      <c r="S17" s="24"/>
      <c r="T17" s="18"/>
      <c r="U17" s="18"/>
      <c r="V17" s="18"/>
      <c r="W17" s="23"/>
      <c r="X17" s="23"/>
      <c r="Y17" s="23"/>
      <c r="Z17" s="24"/>
      <c r="AA17" s="23"/>
      <c r="AB17" s="23"/>
      <c r="AC17" s="23"/>
      <c r="AD17" s="91"/>
      <c r="AE17" s="91"/>
    </row>
    <row r="18" spans="1:31" ht="21" customHeight="1" x14ac:dyDescent="0.15">
      <c r="A18" s="3">
        <v>9</v>
      </c>
      <c r="B18" s="171" t="s">
        <v>246</v>
      </c>
      <c r="C18" s="157">
        <v>4580</v>
      </c>
      <c r="D18" s="37" t="s">
        <v>235</v>
      </c>
      <c r="E18" s="146" t="s">
        <v>24</v>
      </c>
      <c r="F18" s="3" t="s">
        <v>18</v>
      </c>
      <c r="G18" s="147">
        <f>AB7</f>
        <v>6</v>
      </c>
      <c r="H18" s="147">
        <v>0</v>
      </c>
      <c r="I18" s="148">
        <f t="shared" ref="I18" si="8">G18+H18</f>
        <v>6</v>
      </c>
      <c r="J18" s="155">
        <v>2.3199999999999998</v>
      </c>
      <c r="K18" s="150">
        <f t="shared" ref="K18" si="9">I18*J18*C18/1000</f>
        <v>63.753599999999992</v>
      </c>
      <c r="L18" s="16"/>
      <c r="M18" s="28"/>
      <c r="N18" s="18"/>
      <c r="O18" s="24"/>
      <c r="P18" s="18"/>
      <c r="Q18" s="18"/>
      <c r="R18" s="24"/>
      <c r="S18" s="24"/>
      <c r="T18" s="18"/>
      <c r="U18" s="18"/>
      <c r="V18" s="18"/>
      <c r="W18" s="23"/>
      <c r="X18" s="23"/>
      <c r="Y18" s="23"/>
      <c r="Z18" s="24"/>
      <c r="AA18" s="23"/>
      <c r="AB18" s="23"/>
      <c r="AC18" s="23"/>
      <c r="AD18" s="91"/>
      <c r="AE18" s="91"/>
    </row>
    <row r="19" spans="1:31" ht="21" customHeight="1" x14ac:dyDescent="0.15">
      <c r="A19" s="3">
        <v>10</v>
      </c>
      <c r="B19" s="170" t="s">
        <v>241</v>
      </c>
      <c r="C19" s="157">
        <v>2600</v>
      </c>
      <c r="D19" s="37" t="s">
        <v>82</v>
      </c>
      <c r="E19" s="146" t="s">
        <v>24</v>
      </c>
      <c r="F19" s="3" t="s">
        <v>18</v>
      </c>
      <c r="G19" s="147">
        <f>AE7+AE6+AE5</f>
        <v>5</v>
      </c>
      <c r="H19" s="147">
        <v>0</v>
      </c>
      <c r="I19" s="148">
        <f t="shared" si="0"/>
        <v>5</v>
      </c>
      <c r="J19" s="158">
        <v>2.1</v>
      </c>
      <c r="K19" s="150">
        <f t="shared" si="1"/>
        <v>27.3</v>
      </c>
      <c r="L19" s="16"/>
      <c r="M19" s="28"/>
      <c r="N19" s="19"/>
      <c r="O19" s="19"/>
      <c r="P19" s="20"/>
      <c r="Q19" s="20"/>
      <c r="R19" s="25"/>
      <c r="S19" s="25"/>
      <c r="T19" s="20"/>
      <c r="U19" s="20"/>
      <c r="V19" s="20"/>
      <c r="W19" s="20"/>
      <c r="X19" s="20"/>
      <c r="Y19" s="20"/>
      <c r="Z19" s="19"/>
      <c r="AA19" s="25"/>
      <c r="AB19" s="25"/>
      <c r="AC19" s="25"/>
      <c r="AD19" s="28"/>
      <c r="AE19" s="28"/>
    </row>
    <row r="20" spans="1:31" ht="21" customHeight="1" x14ac:dyDescent="0.15">
      <c r="A20" s="3">
        <v>11</v>
      </c>
      <c r="B20" s="22" t="s">
        <v>189</v>
      </c>
      <c r="C20" s="159">
        <v>200</v>
      </c>
      <c r="D20" s="37" t="s">
        <v>82</v>
      </c>
      <c r="E20" s="146" t="s">
        <v>24</v>
      </c>
      <c r="F20" s="37" t="s">
        <v>15</v>
      </c>
      <c r="G20" s="147">
        <f>AD7+AD6</f>
        <v>10</v>
      </c>
      <c r="H20" s="147">
        <v>0</v>
      </c>
      <c r="I20" s="148">
        <f t="shared" si="0"/>
        <v>10</v>
      </c>
      <c r="J20" s="160">
        <v>0.5</v>
      </c>
      <c r="K20" s="150">
        <f t="shared" si="1"/>
        <v>1</v>
      </c>
      <c r="L20" s="16"/>
      <c r="M20" s="28"/>
      <c r="N20" s="18"/>
      <c r="O20" s="161"/>
      <c r="AD20" s="28"/>
      <c r="AE20" s="28"/>
    </row>
    <row r="21" spans="1:31" ht="33.950000000000003" customHeight="1" x14ac:dyDescent="0.15">
      <c r="A21" s="3">
        <v>12</v>
      </c>
      <c r="B21" s="22" t="s">
        <v>190</v>
      </c>
      <c r="C21" s="37"/>
      <c r="D21" s="37" t="s">
        <v>82</v>
      </c>
      <c r="E21" s="146" t="s">
        <v>24</v>
      </c>
      <c r="F21" s="37" t="s">
        <v>15</v>
      </c>
      <c r="G21" s="147">
        <f>SUM(G8:G11)</f>
        <v>48</v>
      </c>
      <c r="H21" s="147">
        <v>0</v>
      </c>
      <c r="I21" s="148">
        <f t="shared" si="0"/>
        <v>48</v>
      </c>
      <c r="J21" s="160">
        <v>0.55000000000000004</v>
      </c>
      <c r="K21" s="150">
        <f>G21*J21</f>
        <v>26.400000000000002</v>
      </c>
      <c r="L21" s="9" t="s">
        <v>191</v>
      </c>
      <c r="M21" s="28"/>
      <c r="N21" s="18"/>
      <c r="O21" s="18"/>
      <c r="Q21" t="s">
        <v>192</v>
      </c>
      <c r="AD21" s="28"/>
      <c r="AE21" s="28"/>
    </row>
    <row r="22" spans="1:31" ht="40.5" customHeight="1" x14ac:dyDescent="0.15">
      <c r="A22" s="3">
        <v>13</v>
      </c>
      <c r="B22" s="170" t="s">
        <v>247</v>
      </c>
      <c r="C22" s="37" t="s">
        <v>253</v>
      </c>
      <c r="D22" s="37" t="s">
        <v>82</v>
      </c>
      <c r="E22" s="146" t="s">
        <v>24</v>
      </c>
      <c r="F22" s="37" t="s">
        <v>15</v>
      </c>
      <c r="G22" s="147">
        <f>G8+G9+G10+G11</f>
        <v>48</v>
      </c>
      <c r="H22" s="147">
        <v>0</v>
      </c>
      <c r="I22" s="148">
        <f t="shared" si="0"/>
        <v>48</v>
      </c>
      <c r="J22" s="162">
        <v>6.86</v>
      </c>
      <c r="K22" s="150">
        <f t="shared" ref="K22:K29" si="10">I22*J22</f>
        <v>329.28000000000003</v>
      </c>
      <c r="L22" s="9" t="s">
        <v>248</v>
      </c>
      <c r="M22" s="28"/>
      <c r="N22" s="19"/>
      <c r="O22" s="19"/>
      <c r="P22" s="18"/>
      <c r="Q22" s="18"/>
      <c r="R22" s="24"/>
      <c r="S22" s="24"/>
      <c r="T22" s="18"/>
      <c r="U22" s="18"/>
      <c r="V22" s="18"/>
      <c r="W22" s="23"/>
      <c r="X22" s="23"/>
      <c r="Y22" s="23"/>
      <c r="Z22" s="24"/>
      <c r="AA22" s="23"/>
      <c r="AB22" s="23"/>
      <c r="AC22" s="23"/>
      <c r="AD22" s="28"/>
      <c r="AE22" s="28"/>
    </row>
    <row r="23" spans="1:31" ht="40.5" x14ac:dyDescent="0.15">
      <c r="A23" s="3">
        <v>14</v>
      </c>
      <c r="B23" s="6" t="s">
        <v>193</v>
      </c>
      <c r="C23" s="163"/>
      <c r="D23" s="37" t="s">
        <v>82</v>
      </c>
      <c r="E23" s="146" t="s">
        <v>194</v>
      </c>
      <c r="F23" s="37" t="s">
        <v>17</v>
      </c>
      <c r="G23" s="147">
        <f>4*G20</f>
        <v>40</v>
      </c>
      <c r="H23" s="147">
        <f>G23*0.004</f>
        <v>0.16</v>
      </c>
      <c r="I23" s="148">
        <f t="shared" si="0"/>
        <v>40.159999999999997</v>
      </c>
      <c r="J23" s="155">
        <v>3.1E-2</v>
      </c>
      <c r="K23" s="150">
        <f t="shared" si="10"/>
        <v>1.2449599999999998</v>
      </c>
      <c r="L23" s="6" t="s">
        <v>195</v>
      </c>
      <c r="M23" s="28"/>
      <c r="N23" s="28"/>
      <c r="O23" s="28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8"/>
      <c r="AE23" s="28"/>
    </row>
    <row r="24" spans="1:31" ht="40.5" x14ac:dyDescent="0.15">
      <c r="A24" s="3">
        <v>15</v>
      </c>
      <c r="B24" s="6" t="s">
        <v>196</v>
      </c>
      <c r="C24" s="163"/>
      <c r="D24" s="37" t="s">
        <v>20</v>
      </c>
      <c r="E24" s="146">
        <v>304</v>
      </c>
      <c r="F24" s="37" t="s">
        <v>17</v>
      </c>
      <c r="G24" s="147">
        <f>G6+G7</f>
        <v>112</v>
      </c>
      <c r="H24" s="147">
        <v>2</v>
      </c>
      <c r="I24" s="148">
        <f t="shared" si="0"/>
        <v>114</v>
      </c>
      <c r="J24" s="164">
        <v>0.03</v>
      </c>
      <c r="K24" s="150">
        <f t="shared" si="10"/>
        <v>3.42</v>
      </c>
      <c r="L24" s="6" t="s">
        <v>197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27" x14ac:dyDescent="0.15">
      <c r="A25" s="3">
        <v>16</v>
      </c>
      <c r="B25" s="6" t="s">
        <v>198</v>
      </c>
      <c r="C25" s="163"/>
      <c r="D25" s="37" t="s">
        <v>82</v>
      </c>
      <c r="E25" s="146" t="s">
        <v>194</v>
      </c>
      <c r="F25" s="37" t="s">
        <v>17</v>
      </c>
      <c r="G25" s="147">
        <f>G12*2+G13*4+G14*6</f>
        <v>58</v>
      </c>
      <c r="H25" s="147">
        <f>G25*0.004</f>
        <v>0.23200000000000001</v>
      </c>
      <c r="I25" s="148">
        <f t="shared" si="0"/>
        <v>58.231999999999999</v>
      </c>
      <c r="J25" s="155">
        <v>3.1E-2</v>
      </c>
      <c r="K25" s="150">
        <f t="shared" si="10"/>
        <v>1.8051919999999999</v>
      </c>
      <c r="L25" s="6" t="s">
        <v>199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40.5" x14ac:dyDescent="0.15">
      <c r="A26" s="3">
        <v>17</v>
      </c>
      <c r="B26" s="6" t="s">
        <v>200</v>
      </c>
      <c r="C26" s="163"/>
      <c r="D26" s="37" t="s">
        <v>82</v>
      </c>
      <c r="E26" s="146" t="s">
        <v>194</v>
      </c>
      <c r="F26" s="37" t="s">
        <v>17</v>
      </c>
      <c r="G26" s="147">
        <f>2*G21</f>
        <v>96</v>
      </c>
      <c r="H26" s="147">
        <v>1</v>
      </c>
      <c r="I26" s="148">
        <f t="shared" si="0"/>
        <v>97</v>
      </c>
      <c r="J26" s="155">
        <v>3.1E-2</v>
      </c>
      <c r="K26" s="150">
        <f t="shared" si="10"/>
        <v>3.0070000000000001</v>
      </c>
      <c r="L26" s="6" t="s">
        <v>201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27" x14ac:dyDescent="0.15">
      <c r="A27" s="3">
        <v>18</v>
      </c>
      <c r="B27" s="6" t="s">
        <v>200</v>
      </c>
      <c r="C27" s="163"/>
      <c r="D27" s="37" t="s">
        <v>82</v>
      </c>
      <c r="E27" s="146" t="s">
        <v>194</v>
      </c>
      <c r="F27" s="37" t="s">
        <v>17</v>
      </c>
      <c r="G27" s="147">
        <f>2*(G19)</f>
        <v>10</v>
      </c>
      <c r="H27" s="147">
        <f>G27*0.004</f>
        <v>0.04</v>
      </c>
      <c r="I27" s="148">
        <f t="shared" si="0"/>
        <v>10.039999999999999</v>
      </c>
      <c r="J27" s="155">
        <v>3.1E-2</v>
      </c>
      <c r="K27" s="150">
        <f t="shared" si="10"/>
        <v>0.31123999999999996</v>
      </c>
      <c r="L27" s="6" t="s">
        <v>202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40.5" x14ac:dyDescent="0.15">
      <c r="A28" s="3">
        <v>19</v>
      </c>
      <c r="B28" s="6" t="s">
        <v>203</v>
      </c>
      <c r="C28" s="163"/>
      <c r="D28" s="37" t="s">
        <v>82</v>
      </c>
      <c r="E28" s="146" t="s">
        <v>194</v>
      </c>
      <c r="F28" s="37" t="s">
        <v>17</v>
      </c>
      <c r="G28" s="147">
        <f>G21</f>
        <v>48</v>
      </c>
      <c r="H28" s="147">
        <v>1</v>
      </c>
      <c r="I28" s="148">
        <f t="shared" si="0"/>
        <v>49</v>
      </c>
      <c r="J28" s="155">
        <v>6.54E-2</v>
      </c>
      <c r="K28" s="150">
        <f t="shared" si="10"/>
        <v>3.2046000000000001</v>
      </c>
      <c r="L28" s="172" t="s">
        <v>249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27" x14ac:dyDescent="0.15">
      <c r="A29" s="3">
        <v>20</v>
      </c>
      <c r="B29" s="9" t="s">
        <v>92</v>
      </c>
      <c r="C29" s="165" t="s">
        <v>93</v>
      </c>
      <c r="D29" s="9" t="s">
        <v>82</v>
      </c>
      <c r="E29" s="146" t="s">
        <v>89</v>
      </c>
      <c r="F29" s="37" t="s">
        <v>17</v>
      </c>
      <c r="G29" s="147">
        <f>2*G21</f>
        <v>96</v>
      </c>
      <c r="H29" s="147">
        <v>1</v>
      </c>
      <c r="I29" s="148">
        <f t="shared" si="0"/>
        <v>97</v>
      </c>
      <c r="J29" s="155">
        <v>0.2</v>
      </c>
      <c r="K29" s="150">
        <f t="shared" si="10"/>
        <v>19.400000000000002</v>
      </c>
      <c r="L29" s="6" t="s">
        <v>204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40.5" x14ac:dyDescent="0.15">
      <c r="A30" s="3">
        <v>20</v>
      </c>
      <c r="B30" s="6" t="s">
        <v>200</v>
      </c>
      <c r="C30" s="165"/>
      <c r="D30" s="9" t="s">
        <v>82</v>
      </c>
      <c r="E30" s="146" t="s">
        <v>194</v>
      </c>
      <c r="F30" s="37" t="s">
        <v>17</v>
      </c>
      <c r="G30" s="147">
        <f>2*G22</f>
        <v>96</v>
      </c>
      <c r="H30" s="147">
        <v>1</v>
      </c>
      <c r="I30" s="148">
        <f t="shared" ref="I30" si="11">G30+H30</f>
        <v>97</v>
      </c>
      <c r="J30" s="155">
        <v>0.2</v>
      </c>
      <c r="K30" s="150">
        <f t="shared" ref="K30" si="12">I30*J30</f>
        <v>19.400000000000002</v>
      </c>
      <c r="L30" s="172" t="s">
        <v>250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35.1" customHeight="1" x14ac:dyDescent="0.15">
      <c r="A31" s="3" t="s">
        <v>97</v>
      </c>
      <c r="B31" s="169" t="s">
        <v>215</v>
      </c>
      <c r="C31" s="141"/>
      <c r="D31" s="141"/>
      <c r="E31" s="3"/>
      <c r="F31" s="4"/>
      <c r="G31" s="5"/>
      <c r="H31" s="5"/>
      <c r="I31" s="5"/>
      <c r="J31" s="47"/>
      <c r="K31" s="15"/>
      <c r="L31" s="16"/>
      <c r="M31" s="28"/>
    </row>
    <row r="32" spans="1:31" ht="21" customHeight="1" x14ac:dyDescent="0.15">
      <c r="A32" s="3">
        <v>1</v>
      </c>
      <c r="B32" s="144" t="s">
        <v>21</v>
      </c>
      <c r="C32" s="145">
        <v>60</v>
      </c>
      <c r="D32" s="3" t="s">
        <v>13</v>
      </c>
      <c r="E32" s="146" t="s">
        <v>188</v>
      </c>
      <c r="F32" s="37" t="s">
        <v>15</v>
      </c>
      <c r="G32" s="147">
        <f>Q8</f>
        <v>36</v>
      </c>
      <c r="H32" s="147">
        <f>G32*0.003</f>
        <v>0.108</v>
      </c>
      <c r="I32" s="148">
        <f t="shared" ref="I32:I52" si="13">G32+H32</f>
        <v>36.107999999999997</v>
      </c>
      <c r="J32" s="149">
        <f>0.847*0.06</f>
        <v>5.0819999999999997E-2</v>
      </c>
      <c r="K32" s="150">
        <f>G32*J32</f>
        <v>1.8295199999999998</v>
      </c>
      <c r="L32" s="16"/>
    </row>
    <row r="33" spans="1:12" ht="21" customHeight="1" x14ac:dyDescent="0.15">
      <c r="A33" s="3">
        <v>2</v>
      </c>
      <c r="B33" s="6" t="s">
        <v>16</v>
      </c>
      <c r="C33" s="151">
        <v>60</v>
      </c>
      <c r="D33" s="3" t="s">
        <v>13</v>
      </c>
      <c r="E33" s="146" t="s">
        <v>188</v>
      </c>
      <c r="F33" s="3" t="s">
        <v>15</v>
      </c>
      <c r="G33" s="147">
        <f>P8</f>
        <v>108</v>
      </c>
      <c r="H33" s="147">
        <f>G33*0.003</f>
        <v>0.32400000000000001</v>
      </c>
      <c r="I33" s="148">
        <f t="shared" si="13"/>
        <v>108.324</v>
      </c>
      <c r="J33" s="149">
        <f>0.847*0.06</f>
        <v>5.0819999999999997E-2</v>
      </c>
      <c r="K33" s="150">
        <f>G33*J33</f>
        <v>5.4885599999999997</v>
      </c>
      <c r="L33" s="16"/>
    </row>
    <row r="34" spans="1:12" ht="21" customHeight="1" x14ac:dyDescent="0.15">
      <c r="A34" s="3">
        <v>3</v>
      </c>
      <c r="B34" s="170" t="s">
        <v>234</v>
      </c>
      <c r="C34" s="151">
        <v>355</v>
      </c>
      <c r="D34" s="37" t="s">
        <v>235</v>
      </c>
      <c r="E34" s="146" t="s">
        <v>24</v>
      </c>
      <c r="F34" s="3" t="s">
        <v>18</v>
      </c>
      <c r="G34" s="147">
        <f>R8</f>
        <v>12</v>
      </c>
      <c r="H34" s="147">
        <v>0</v>
      </c>
      <c r="I34" s="148">
        <f t="shared" si="13"/>
        <v>12</v>
      </c>
      <c r="J34" s="155">
        <v>2.1</v>
      </c>
      <c r="K34" s="150">
        <f t="shared" ref="K34:K42" si="14">I34*J34*C34/1000</f>
        <v>8.9460000000000015</v>
      </c>
      <c r="L34" s="16"/>
    </row>
    <row r="35" spans="1:12" ht="21" customHeight="1" x14ac:dyDescent="0.15">
      <c r="A35" s="3">
        <v>4</v>
      </c>
      <c r="B35" s="170" t="s">
        <v>242</v>
      </c>
      <c r="C35" s="157">
        <v>670</v>
      </c>
      <c r="D35" s="37" t="s">
        <v>235</v>
      </c>
      <c r="E35" s="146" t="s">
        <v>24</v>
      </c>
      <c r="F35" s="3" t="s">
        <v>18</v>
      </c>
      <c r="G35" s="147">
        <f>S8</f>
        <v>12</v>
      </c>
      <c r="H35" s="147">
        <v>0</v>
      </c>
      <c r="I35" s="148">
        <f t="shared" si="13"/>
        <v>12</v>
      </c>
      <c r="J35" s="155">
        <v>2.1</v>
      </c>
      <c r="K35" s="150">
        <f t="shared" si="14"/>
        <v>16.884000000000004</v>
      </c>
      <c r="L35" s="16"/>
    </row>
    <row r="36" spans="1:12" ht="21" customHeight="1" x14ac:dyDescent="0.15">
      <c r="A36" s="3">
        <v>5</v>
      </c>
      <c r="B36" s="170" t="s">
        <v>243</v>
      </c>
      <c r="C36" s="157">
        <v>1005</v>
      </c>
      <c r="D36" s="37" t="s">
        <v>235</v>
      </c>
      <c r="E36" s="146" t="s">
        <v>24</v>
      </c>
      <c r="F36" s="3" t="s">
        <v>18</v>
      </c>
      <c r="G36" s="147">
        <f>T8</f>
        <v>12</v>
      </c>
      <c r="H36" s="147">
        <v>0</v>
      </c>
      <c r="I36" s="148">
        <f t="shared" si="13"/>
        <v>12</v>
      </c>
      <c r="J36" s="155">
        <v>2.1</v>
      </c>
      <c r="K36" s="150">
        <f t="shared" si="14"/>
        <v>25.326000000000004</v>
      </c>
      <c r="L36" s="16"/>
    </row>
    <row r="37" spans="1:12" ht="21" customHeight="1" x14ac:dyDescent="0.15">
      <c r="A37" s="3">
        <v>6</v>
      </c>
      <c r="B37" s="170" t="s">
        <v>244</v>
      </c>
      <c r="C37" s="157">
        <v>1335</v>
      </c>
      <c r="D37" s="37" t="s">
        <v>235</v>
      </c>
      <c r="E37" s="146" t="s">
        <v>24</v>
      </c>
      <c r="F37" s="3" t="s">
        <v>18</v>
      </c>
      <c r="G37" s="147">
        <f>U8</f>
        <v>12</v>
      </c>
      <c r="H37" s="147">
        <v>0</v>
      </c>
      <c r="I37" s="148">
        <f t="shared" si="13"/>
        <v>12</v>
      </c>
      <c r="J37" s="155">
        <v>2.1</v>
      </c>
      <c r="K37" s="150">
        <f t="shared" si="14"/>
        <v>33.64200000000001</v>
      </c>
      <c r="L37" s="16"/>
    </row>
    <row r="38" spans="1:12" ht="21" customHeight="1" x14ac:dyDescent="0.15">
      <c r="A38" s="3">
        <v>8</v>
      </c>
      <c r="B38" s="170" t="s">
        <v>238</v>
      </c>
      <c r="C38" s="157">
        <v>6300</v>
      </c>
      <c r="D38" s="37" t="s">
        <v>235</v>
      </c>
      <c r="E38" s="146" t="s">
        <v>24</v>
      </c>
      <c r="F38" s="3" t="s">
        <v>18</v>
      </c>
      <c r="G38" s="147">
        <f>X8</f>
        <v>12</v>
      </c>
      <c r="H38" s="147">
        <v>0</v>
      </c>
      <c r="I38" s="148">
        <f t="shared" si="13"/>
        <v>12</v>
      </c>
      <c r="J38" s="155">
        <v>2.56</v>
      </c>
      <c r="K38" s="150">
        <f t="shared" si="14"/>
        <v>193.536</v>
      </c>
      <c r="L38" s="16"/>
    </row>
    <row r="39" spans="1:12" ht="21" customHeight="1" x14ac:dyDescent="0.15">
      <c r="A39" s="3">
        <v>9</v>
      </c>
      <c r="B39" s="171" t="s">
        <v>240</v>
      </c>
      <c r="C39" s="157">
        <v>6000</v>
      </c>
      <c r="D39" s="37" t="s">
        <v>235</v>
      </c>
      <c r="E39" s="146" t="s">
        <v>24</v>
      </c>
      <c r="F39" s="3" t="s">
        <v>18</v>
      </c>
      <c r="G39" s="147">
        <f>Z8</f>
        <v>18</v>
      </c>
      <c r="H39" s="147">
        <v>0</v>
      </c>
      <c r="I39" s="148">
        <f t="shared" si="13"/>
        <v>18</v>
      </c>
      <c r="J39" s="155">
        <v>2.3199999999999998</v>
      </c>
      <c r="K39" s="150">
        <f t="shared" si="14"/>
        <v>250.56</v>
      </c>
      <c r="L39" s="16"/>
    </row>
    <row r="40" spans="1:12" ht="21" customHeight="1" x14ac:dyDescent="0.15">
      <c r="A40" s="3">
        <v>9</v>
      </c>
      <c r="B40" s="171" t="s">
        <v>251</v>
      </c>
      <c r="C40" s="157">
        <v>2260</v>
      </c>
      <c r="D40" s="37" t="s">
        <v>235</v>
      </c>
      <c r="E40" s="146" t="s">
        <v>24</v>
      </c>
      <c r="F40" s="3" t="s">
        <v>18</v>
      </c>
      <c r="G40" s="147">
        <f>AC8</f>
        <v>18</v>
      </c>
      <c r="H40" s="147">
        <v>0</v>
      </c>
      <c r="I40" s="148">
        <f t="shared" si="13"/>
        <v>18</v>
      </c>
      <c r="J40" s="155">
        <v>2.3199999999999998</v>
      </c>
      <c r="K40" s="150">
        <f t="shared" si="14"/>
        <v>94.377599999999987</v>
      </c>
      <c r="L40" s="16"/>
    </row>
    <row r="41" spans="1:12" ht="21" customHeight="1" x14ac:dyDescent="0.15">
      <c r="A41" s="3">
        <v>10</v>
      </c>
      <c r="B41" s="170" t="s">
        <v>241</v>
      </c>
      <c r="C41" s="157">
        <v>2600</v>
      </c>
      <c r="D41" s="37" t="s">
        <v>82</v>
      </c>
      <c r="E41" s="146" t="s">
        <v>24</v>
      </c>
      <c r="F41" s="3" t="s">
        <v>18</v>
      </c>
      <c r="G41" s="147">
        <f>AE8</f>
        <v>6</v>
      </c>
      <c r="H41" s="147">
        <v>0</v>
      </c>
      <c r="I41" s="148">
        <f t="shared" si="13"/>
        <v>6</v>
      </c>
      <c r="J41" s="158">
        <v>2.88</v>
      </c>
      <c r="K41" s="150">
        <f t="shared" si="14"/>
        <v>44.927999999999997</v>
      </c>
      <c r="L41" s="16"/>
    </row>
    <row r="42" spans="1:12" ht="21" customHeight="1" x14ac:dyDescent="0.15">
      <c r="A42" s="3">
        <v>11</v>
      </c>
      <c r="B42" s="22" t="s">
        <v>189</v>
      </c>
      <c r="C42" s="159">
        <v>200</v>
      </c>
      <c r="D42" s="37" t="s">
        <v>82</v>
      </c>
      <c r="E42" s="146" t="s">
        <v>24</v>
      </c>
      <c r="F42" s="37" t="s">
        <v>15</v>
      </c>
      <c r="G42" s="147">
        <f>AD8</f>
        <v>18</v>
      </c>
      <c r="H42" s="147">
        <v>0</v>
      </c>
      <c r="I42" s="148">
        <f t="shared" si="13"/>
        <v>18</v>
      </c>
      <c r="J42" s="160">
        <v>0.5</v>
      </c>
      <c r="K42" s="150">
        <f t="shared" si="14"/>
        <v>1.8</v>
      </c>
      <c r="L42" s="16"/>
    </row>
    <row r="43" spans="1:12" ht="21" customHeight="1" x14ac:dyDescent="0.15">
      <c r="A43" s="3">
        <v>12</v>
      </c>
      <c r="B43" s="22" t="s">
        <v>190</v>
      </c>
      <c r="C43" s="37"/>
      <c r="D43" s="37" t="s">
        <v>82</v>
      </c>
      <c r="E43" s="146" t="s">
        <v>24</v>
      </c>
      <c r="F43" s="37" t="s">
        <v>15</v>
      </c>
      <c r="G43" s="147">
        <f>SUM(G34:G37)</f>
        <v>48</v>
      </c>
      <c r="H43" s="147">
        <v>0</v>
      </c>
      <c r="I43" s="148">
        <f t="shared" si="13"/>
        <v>48</v>
      </c>
      <c r="J43" s="160">
        <v>0.55000000000000004</v>
      </c>
      <c r="K43" s="150">
        <f>G43*J43</f>
        <v>26.400000000000002</v>
      </c>
      <c r="L43" s="9" t="s">
        <v>191</v>
      </c>
    </row>
    <row r="44" spans="1:12" ht="21" customHeight="1" x14ac:dyDescent="0.15">
      <c r="A44" s="3">
        <v>13</v>
      </c>
      <c r="B44" s="170" t="s">
        <v>247</v>
      </c>
      <c r="C44" s="37" t="s">
        <v>253</v>
      </c>
      <c r="D44" s="37" t="s">
        <v>82</v>
      </c>
      <c r="E44" s="146" t="s">
        <v>24</v>
      </c>
      <c r="F44" s="37" t="s">
        <v>15</v>
      </c>
      <c r="G44" s="147">
        <f>G34+G35+G36+G37</f>
        <v>48</v>
      </c>
      <c r="H44" s="147">
        <v>0</v>
      </c>
      <c r="I44" s="148">
        <f t="shared" si="13"/>
        <v>48</v>
      </c>
      <c r="J44" s="162">
        <v>6.86</v>
      </c>
      <c r="K44" s="150">
        <f t="shared" ref="K44:K52" si="15">I44*J44</f>
        <v>329.28000000000003</v>
      </c>
      <c r="L44" s="9" t="s">
        <v>248</v>
      </c>
    </row>
    <row r="45" spans="1:12" ht="44.25" customHeight="1" x14ac:dyDescent="0.15">
      <c r="A45" s="3">
        <v>14</v>
      </c>
      <c r="B45" s="6" t="s">
        <v>193</v>
      </c>
      <c r="C45" s="163"/>
      <c r="D45" s="37" t="s">
        <v>82</v>
      </c>
      <c r="E45" s="146" t="s">
        <v>194</v>
      </c>
      <c r="F45" s="37" t="s">
        <v>17</v>
      </c>
      <c r="G45" s="147">
        <f>4*G42</f>
        <v>72</v>
      </c>
      <c r="H45" s="147">
        <f>G45*0.004</f>
        <v>0.28800000000000003</v>
      </c>
      <c r="I45" s="148">
        <f t="shared" si="13"/>
        <v>72.287999999999997</v>
      </c>
      <c r="J45" s="155">
        <v>3.1E-2</v>
      </c>
      <c r="K45" s="150">
        <f t="shared" si="15"/>
        <v>2.2409279999999998</v>
      </c>
      <c r="L45" s="6" t="s">
        <v>195</v>
      </c>
    </row>
    <row r="46" spans="1:12" ht="40.5" x14ac:dyDescent="0.15">
      <c r="A46" s="3">
        <v>15</v>
      </c>
      <c r="B46" s="6" t="s">
        <v>196</v>
      </c>
      <c r="C46" s="163"/>
      <c r="D46" s="37" t="s">
        <v>20</v>
      </c>
      <c r="E46" s="146">
        <v>304</v>
      </c>
      <c r="F46" s="37" t="s">
        <v>17</v>
      </c>
      <c r="G46" s="147">
        <f>G32+G33</f>
        <v>144</v>
      </c>
      <c r="H46" s="147">
        <v>2</v>
      </c>
      <c r="I46" s="148">
        <f t="shared" si="13"/>
        <v>146</v>
      </c>
      <c r="J46" s="164">
        <v>0.03</v>
      </c>
      <c r="K46" s="150">
        <f t="shared" si="15"/>
        <v>4.38</v>
      </c>
      <c r="L46" s="6" t="s">
        <v>197</v>
      </c>
    </row>
    <row r="47" spans="1:12" ht="27" x14ac:dyDescent="0.15">
      <c r="A47" s="3">
        <v>16</v>
      </c>
      <c r="B47" s="6" t="s">
        <v>198</v>
      </c>
      <c r="C47" s="163"/>
      <c r="D47" s="37" t="s">
        <v>82</v>
      </c>
      <c r="E47" s="146" t="s">
        <v>194</v>
      </c>
      <c r="F47" s="37" t="s">
        <v>17</v>
      </c>
      <c r="G47" s="147">
        <f>G38*6</f>
        <v>72</v>
      </c>
      <c r="H47" s="147">
        <f>G47*0.004</f>
        <v>0.28800000000000003</v>
      </c>
      <c r="I47" s="148">
        <f t="shared" si="13"/>
        <v>72.287999999999997</v>
      </c>
      <c r="J47" s="155">
        <v>3.1E-2</v>
      </c>
      <c r="K47" s="150">
        <f t="shared" si="15"/>
        <v>2.2409279999999998</v>
      </c>
      <c r="L47" s="6" t="s">
        <v>199</v>
      </c>
    </row>
    <row r="48" spans="1:12" ht="40.5" x14ac:dyDescent="0.15">
      <c r="A48" s="3">
        <v>17</v>
      </c>
      <c r="B48" s="6" t="s">
        <v>200</v>
      </c>
      <c r="C48" s="163"/>
      <c r="D48" s="37" t="s">
        <v>82</v>
      </c>
      <c r="E48" s="146" t="s">
        <v>194</v>
      </c>
      <c r="F48" s="37" t="s">
        <v>17</v>
      </c>
      <c r="G48" s="147">
        <f>2*G43</f>
        <v>96</v>
      </c>
      <c r="H48" s="147">
        <v>1</v>
      </c>
      <c r="I48" s="148">
        <f t="shared" si="13"/>
        <v>97</v>
      </c>
      <c r="J48" s="155">
        <v>3.1E-2</v>
      </c>
      <c r="K48" s="150">
        <f t="shared" si="15"/>
        <v>3.0070000000000001</v>
      </c>
      <c r="L48" s="6" t="s">
        <v>201</v>
      </c>
    </row>
    <row r="49" spans="1:12" ht="27" x14ac:dyDescent="0.15">
      <c r="A49" s="3">
        <v>18</v>
      </c>
      <c r="B49" s="6" t="s">
        <v>200</v>
      </c>
      <c r="C49" s="163"/>
      <c r="D49" s="37" t="s">
        <v>82</v>
      </c>
      <c r="E49" s="146" t="s">
        <v>194</v>
      </c>
      <c r="F49" s="37" t="s">
        <v>17</v>
      </c>
      <c r="G49" s="147">
        <f>2*(G41)</f>
        <v>12</v>
      </c>
      <c r="H49" s="147">
        <f>G49*0.004</f>
        <v>4.8000000000000001E-2</v>
      </c>
      <c r="I49" s="148">
        <f t="shared" si="13"/>
        <v>12.048</v>
      </c>
      <c r="J49" s="155">
        <v>3.1E-2</v>
      </c>
      <c r="K49" s="150">
        <f t="shared" si="15"/>
        <v>0.37348799999999999</v>
      </c>
      <c r="L49" s="6" t="s">
        <v>202</v>
      </c>
    </row>
    <row r="50" spans="1:12" ht="40.5" x14ac:dyDescent="0.15">
      <c r="A50" s="3">
        <v>19</v>
      </c>
      <c r="B50" s="6" t="s">
        <v>203</v>
      </c>
      <c r="C50" s="163"/>
      <c r="D50" s="37" t="s">
        <v>82</v>
      </c>
      <c r="E50" s="146" t="s">
        <v>194</v>
      </c>
      <c r="F50" s="37" t="s">
        <v>17</v>
      </c>
      <c r="G50" s="147">
        <f>G43</f>
        <v>48</v>
      </c>
      <c r="H50" s="147">
        <v>1</v>
      </c>
      <c r="I50" s="148">
        <f t="shared" si="13"/>
        <v>49</v>
      </c>
      <c r="J50" s="155">
        <v>6.54E-2</v>
      </c>
      <c r="K50" s="150">
        <f t="shared" si="15"/>
        <v>3.2046000000000001</v>
      </c>
      <c r="L50" s="172" t="s">
        <v>249</v>
      </c>
    </row>
    <row r="51" spans="1:12" ht="27" x14ac:dyDescent="0.15">
      <c r="A51" s="3">
        <v>20</v>
      </c>
      <c r="B51" s="9" t="s">
        <v>92</v>
      </c>
      <c r="C51" s="165" t="s">
        <v>93</v>
      </c>
      <c r="D51" s="9" t="s">
        <v>82</v>
      </c>
      <c r="E51" s="146" t="s">
        <v>89</v>
      </c>
      <c r="F51" s="37" t="s">
        <v>17</v>
      </c>
      <c r="G51" s="147">
        <f>2*G43</f>
        <v>96</v>
      </c>
      <c r="H51" s="147">
        <v>1</v>
      </c>
      <c r="I51" s="148">
        <f t="shared" si="13"/>
        <v>97</v>
      </c>
      <c r="J51" s="155">
        <v>0.2</v>
      </c>
      <c r="K51" s="150">
        <f t="shared" si="15"/>
        <v>19.400000000000002</v>
      </c>
      <c r="L51" s="6" t="s">
        <v>204</v>
      </c>
    </row>
    <row r="52" spans="1:12" ht="40.5" x14ac:dyDescent="0.15">
      <c r="A52" s="3">
        <v>20</v>
      </c>
      <c r="B52" s="6" t="s">
        <v>200</v>
      </c>
      <c r="C52" s="165"/>
      <c r="D52" s="9" t="s">
        <v>82</v>
      </c>
      <c r="E52" s="146" t="s">
        <v>194</v>
      </c>
      <c r="F52" s="37" t="s">
        <v>17</v>
      </c>
      <c r="G52" s="147">
        <f>2*G44</f>
        <v>96</v>
      </c>
      <c r="H52" s="147">
        <v>1</v>
      </c>
      <c r="I52" s="148">
        <f t="shared" si="13"/>
        <v>97</v>
      </c>
      <c r="J52" s="155">
        <v>0.2</v>
      </c>
      <c r="K52" s="150">
        <f t="shared" si="15"/>
        <v>19.400000000000002</v>
      </c>
      <c r="L52" s="172" t="s">
        <v>250</v>
      </c>
    </row>
    <row r="53" spans="1:12" x14ac:dyDescent="0.15">
      <c r="A53" s="247"/>
      <c r="B53" s="204"/>
      <c r="C53" s="204"/>
      <c r="D53" s="204"/>
      <c r="E53" s="204"/>
      <c r="F53" s="204"/>
      <c r="G53" s="204"/>
      <c r="H53" s="204"/>
      <c r="I53" s="204"/>
      <c r="J53" s="248" t="s">
        <v>23</v>
      </c>
      <c r="K53" s="250">
        <f>SUM(K6:K52)</f>
        <v>2039.7619560000001</v>
      </c>
      <c r="L53" s="204" t="s">
        <v>205</v>
      </c>
    </row>
    <row r="54" spans="1:12" x14ac:dyDescent="0.15">
      <c r="A54" s="247"/>
      <c r="B54" s="203"/>
      <c r="C54" s="203"/>
      <c r="D54" s="203"/>
      <c r="E54" s="203"/>
      <c r="F54" s="203"/>
      <c r="G54" s="203"/>
      <c r="H54" s="203"/>
      <c r="I54" s="203"/>
      <c r="J54" s="249"/>
      <c r="K54" s="203"/>
      <c r="L54" s="203"/>
    </row>
    <row r="55" spans="1:12" x14ac:dyDescent="0.15">
      <c r="A55" s="8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</row>
    <row r="56" spans="1:12" x14ac:dyDescent="0.15">
      <c r="A56" s="8" t="s">
        <v>27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</row>
    <row r="57" spans="1:12" x14ac:dyDescent="0.15">
      <c r="A57" s="8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</row>
    <row r="58" spans="1:12" x14ac:dyDescent="0.15">
      <c r="A58" s="8"/>
      <c r="B58" s="252" t="s">
        <v>206</v>
      </c>
      <c r="C58" s="253"/>
      <c r="D58" s="253"/>
      <c r="E58" s="253"/>
      <c r="F58" s="253"/>
      <c r="G58" s="253"/>
      <c r="H58" s="253"/>
      <c r="I58" s="253"/>
      <c r="J58" s="253"/>
      <c r="K58" s="253"/>
      <c r="L58" s="254"/>
    </row>
    <row r="59" spans="1:12" x14ac:dyDescent="0.15">
      <c r="A59" s="167"/>
      <c r="B59" s="255" t="s">
        <v>207</v>
      </c>
      <c r="C59" s="255"/>
      <c r="D59" s="255"/>
      <c r="E59" s="255"/>
      <c r="F59" s="255"/>
      <c r="G59" s="255"/>
      <c r="H59" s="255"/>
      <c r="I59" s="255"/>
      <c r="J59" s="255"/>
      <c r="K59" s="256"/>
      <c r="L59" s="255"/>
    </row>
    <row r="60" spans="1:12" ht="15" x14ac:dyDescent="0.15">
      <c r="A60" s="167"/>
      <c r="B60" s="218" t="s">
        <v>252</v>
      </c>
      <c r="C60" s="219"/>
      <c r="D60" s="219"/>
      <c r="E60" s="219"/>
      <c r="F60" s="219"/>
      <c r="G60" s="219"/>
      <c r="H60" s="219"/>
      <c r="I60" s="219"/>
      <c r="J60" s="219"/>
      <c r="K60" s="219"/>
      <c r="L60" s="220"/>
    </row>
    <row r="61" spans="1:12" x14ac:dyDescent="0.15">
      <c r="A61" s="9"/>
      <c r="B61" s="255" t="s">
        <v>208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</row>
    <row r="62" spans="1:12" x14ac:dyDescent="0.15">
      <c r="A62" s="9"/>
      <c r="B62" s="218" t="s">
        <v>209</v>
      </c>
      <c r="C62" s="219"/>
      <c r="D62" s="219"/>
      <c r="E62" s="219"/>
      <c r="F62" s="219"/>
      <c r="G62" s="219"/>
      <c r="H62" s="219"/>
      <c r="I62" s="219"/>
      <c r="J62" s="219"/>
      <c r="K62" s="219"/>
      <c r="L62" s="220"/>
    </row>
    <row r="63" spans="1:12" x14ac:dyDescent="0.15">
      <c r="A63" s="9"/>
      <c r="B63" s="258" t="s">
        <v>210</v>
      </c>
      <c r="C63" s="258"/>
      <c r="D63" s="258"/>
      <c r="E63" s="258"/>
      <c r="F63" s="258"/>
      <c r="G63" s="258"/>
      <c r="H63" s="258"/>
      <c r="I63" s="258"/>
      <c r="J63" s="258"/>
      <c r="K63" s="259"/>
      <c r="L63" s="258"/>
    </row>
    <row r="64" spans="1:12" x14ac:dyDescent="0.15">
      <c r="A64" s="9"/>
      <c r="B64" s="258" t="s">
        <v>211</v>
      </c>
      <c r="C64" s="258"/>
      <c r="D64" s="258"/>
      <c r="E64" s="258"/>
      <c r="F64" s="258"/>
      <c r="G64" s="258"/>
      <c r="H64" s="258"/>
      <c r="I64" s="258"/>
      <c r="J64" s="258"/>
      <c r="K64" s="259"/>
      <c r="L64" s="258"/>
    </row>
    <row r="65" spans="1:12" x14ac:dyDescent="0.15">
      <c r="A65" s="195" t="s">
        <v>30</v>
      </c>
      <c r="B65" s="195"/>
      <c r="C65" s="195" t="s">
        <v>31</v>
      </c>
      <c r="D65" s="195"/>
      <c r="E65" s="195"/>
      <c r="F65" s="195"/>
      <c r="G65" s="195"/>
      <c r="H65" s="251" t="s">
        <v>212</v>
      </c>
      <c r="I65" s="251"/>
      <c r="J65" s="251"/>
      <c r="K65" s="251"/>
      <c r="L65" s="251"/>
    </row>
    <row r="66" spans="1:12" x14ac:dyDescent="0.15">
      <c r="A66" s="195"/>
      <c r="B66" s="195"/>
      <c r="C66" s="195"/>
      <c r="D66" s="195"/>
      <c r="E66" s="195"/>
      <c r="F66" s="195"/>
      <c r="G66" s="195"/>
      <c r="H66" s="251"/>
      <c r="I66" s="251"/>
      <c r="J66" s="251"/>
      <c r="K66" s="251"/>
      <c r="L66" s="251"/>
    </row>
    <row r="67" spans="1:12" ht="27" customHeight="1" x14ac:dyDescent="0.15">
      <c r="A67" s="10" t="s">
        <v>33</v>
      </c>
      <c r="B67" s="168"/>
      <c r="C67" s="10" t="s">
        <v>136</v>
      </c>
      <c r="D67" s="257"/>
      <c r="E67" s="257"/>
      <c r="F67" s="257"/>
      <c r="G67" s="257"/>
      <c r="H67" s="257"/>
      <c r="I67" s="257"/>
      <c r="J67" s="257"/>
      <c r="K67" s="257"/>
      <c r="L67" s="257"/>
    </row>
  </sheetData>
  <mergeCells count="23">
    <mergeCell ref="D67:G67"/>
    <mergeCell ref="H67:L67"/>
    <mergeCell ref="B63:L63"/>
    <mergeCell ref="B64:L64"/>
    <mergeCell ref="A65:A66"/>
    <mergeCell ref="B65:B66"/>
    <mergeCell ref="C65:C66"/>
    <mergeCell ref="D65:G66"/>
    <mergeCell ref="H65:L66"/>
    <mergeCell ref="B62:L62"/>
    <mergeCell ref="A1:L1"/>
    <mergeCell ref="A2:L2"/>
    <mergeCell ref="A3:L3"/>
    <mergeCell ref="A53:A54"/>
    <mergeCell ref="B53:I54"/>
    <mergeCell ref="J53:J54"/>
    <mergeCell ref="K53:K54"/>
    <mergeCell ref="L53:L54"/>
    <mergeCell ref="B56:L57"/>
    <mergeCell ref="B58:L58"/>
    <mergeCell ref="B59:L59"/>
    <mergeCell ref="B60:L60"/>
    <mergeCell ref="B61:L61"/>
  </mergeCells>
  <phoneticPr fontId="22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退火成型工段</vt:lpstr>
      <vt:lpstr>裁切工段</vt:lpstr>
      <vt:lpstr>成品工段</vt:lpstr>
      <vt:lpstr>均化车间</vt:lpstr>
      <vt:lpstr>成品库</vt:lpstr>
      <vt:lpstr>大停车场车棚</vt:lpstr>
      <vt:lpstr>智能加工、钣金自动化示范线厂房(混凝土屋面) </vt:lpstr>
      <vt:lpstr>梯屋面支架</vt:lpstr>
      <vt:lpstr>裁切工段!Print_Area</vt:lpstr>
      <vt:lpstr>成品工段!Print_Area</vt:lpstr>
      <vt:lpstr>成品库!Print_Area</vt:lpstr>
      <vt:lpstr>大停车场车棚!Print_Area</vt:lpstr>
      <vt:lpstr>均化车间!Print_Area</vt:lpstr>
      <vt:lpstr>梯屋面支架!Print_Area</vt:lpstr>
      <vt:lpstr>退火成型工段!Print_Area</vt:lpstr>
      <vt:lpstr>'智能加工、钣金自动化示范线厂房(混凝土屋面)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九州能源有限公司</cp:lastModifiedBy>
  <cp:revision>1</cp:revision>
  <cp:lastPrinted>2023-10-11T03:48:16Z</cp:lastPrinted>
  <dcterms:created xsi:type="dcterms:W3CDTF">2016-09-19T05:51:00Z</dcterms:created>
  <dcterms:modified xsi:type="dcterms:W3CDTF">2024-04-09T02:17:38Z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B1B43B2607884816BE5EF437C86B7015_13</vt:lpwstr>
  </property>
</Properties>
</file>